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V:\УБПвОЭ\ОБПвСГП\ПРОЕКТ БЮДЖЕТА НА 2026-2028\ДОП МАТЕРИАЛЫ\Методики и рачеты МБТ\176\"/>
    </mc:Choice>
  </mc:AlternateContent>
  <xr:revisionPtr revIDLastSave="0" documentId="13_ncr:1_{ABCA4E89-4D03-4141-9BF8-9041CF74939A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расчет НМЦК (без автобусов)" sheetId="4" r:id="rId1"/>
  </sheets>
  <externalReferences>
    <externalReference r:id="rId2"/>
    <externalReference r:id="rId3"/>
    <externalReference r:id="rId4"/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8" i="4" l="1"/>
  <c r="T17" i="4"/>
  <c r="T72" i="4" l="1"/>
  <c r="U68" i="4" l="1"/>
  <c r="U7" i="4"/>
  <c r="U75" i="4" s="1"/>
  <c r="V72" i="4"/>
  <c r="V9" i="4"/>
  <c r="V10" i="4"/>
  <c r="V12" i="4"/>
  <c r="V13" i="4"/>
  <c r="V15" i="4"/>
  <c r="V16" i="4"/>
  <c r="V19" i="4"/>
  <c r="V20" i="4"/>
  <c r="V25" i="4"/>
  <c r="V26" i="4"/>
  <c r="V32" i="4"/>
  <c r="V33" i="4"/>
  <c r="V35" i="4"/>
  <c r="V36" i="4"/>
  <c r="V39" i="4"/>
  <c r="V40" i="4"/>
  <c r="V44" i="4"/>
  <c r="V45" i="4"/>
  <c r="V47" i="4"/>
  <c r="V48" i="4"/>
  <c r="V50" i="4"/>
  <c r="V51" i="4"/>
  <c r="V54" i="4"/>
  <c r="V55" i="4"/>
  <c r="V57" i="4"/>
  <c r="V58" i="4"/>
  <c r="V61" i="4"/>
  <c r="V62" i="4"/>
  <c r="V66" i="4"/>
  <c r="V67" i="4"/>
  <c r="Z76" i="4" l="1"/>
  <c r="W76" i="4"/>
  <c r="L71" i="4" l="1"/>
  <c r="L70" i="4"/>
  <c r="L69" i="4"/>
  <c r="D72" i="4" l="1"/>
  <c r="E72" i="4"/>
  <c r="F72" i="4"/>
  <c r="G72" i="4"/>
  <c r="H72" i="4"/>
  <c r="I72" i="4"/>
  <c r="J72" i="4"/>
  <c r="K72" i="4"/>
  <c r="C72" i="4"/>
  <c r="D76" i="4" l="1"/>
  <c r="E76" i="4"/>
  <c r="F76" i="4"/>
  <c r="G76" i="4"/>
  <c r="H76" i="4"/>
  <c r="I76" i="4"/>
  <c r="J76" i="4"/>
  <c r="K76" i="4"/>
  <c r="C76" i="4"/>
  <c r="L77" i="4" l="1"/>
  <c r="L76" i="4" s="1"/>
  <c r="L78" i="4"/>
  <c r="V76" i="4" l="1"/>
  <c r="T95" i="4" s="1"/>
  <c r="AD23" i="4" s="1"/>
  <c r="R68" i="4"/>
  <c r="S8" i="4"/>
  <c r="Q40" i="4"/>
  <c r="C18" i="4"/>
  <c r="D18" i="4"/>
  <c r="E18" i="4"/>
  <c r="F18" i="4"/>
  <c r="G18" i="4"/>
  <c r="H18" i="4"/>
  <c r="I18" i="4"/>
  <c r="L19" i="4"/>
  <c r="P19" i="4" s="1"/>
  <c r="O19" i="4"/>
  <c r="S19" i="4"/>
  <c r="Y19" i="4"/>
  <c r="L20" i="4"/>
  <c r="Q20" i="4" s="1"/>
  <c r="O20" i="4"/>
  <c r="P20" i="4"/>
  <c r="W20" i="4" s="1"/>
  <c r="Z20" i="4" s="1"/>
  <c r="S20" i="4"/>
  <c r="Y20" i="4"/>
  <c r="J18" i="4"/>
  <c r="K18" i="4"/>
  <c r="L17" i="4"/>
  <c r="Q17" i="4" s="1"/>
  <c r="L39" i="4"/>
  <c r="P39" i="4" s="1"/>
  <c r="P38" i="4" s="1"/>
  <c r="C38" i="4"/>
  <c r="D38" i="4"/>
  <c r="E38" i="4"/>
  <c r="F38" i="4"/>
  <c r="G38" i="4"/>
  <c r="H38" i="4"/>
  <c r="I38" i="4"/>
  <c r="L37" i="4"/>
  <c r="Q37" i="4" s="1"/>
  <c r="O39" i="4"/>
  <c r="S39" i="4"/>
  <c r="Y39" i="4"/>
  <c r="N40" i="4"/>
  <c r="O40" i="4"/>
  <c r="P40" i="4"/>
  <c r="W40" i="4" s="1"/>
  <c r="Z40" i="4" s="1"/>
  <c r="S40" i="4"/>
  <c r="Y40" i="4"/>
  <c r="J38" i="4"/>
  <c r="K38" i="4"/>
  <c r="I55" i="4"/>
  <c r="G55" i="4"/>
  <c r="E55" i="4"/>
  <c r="N20" i="4" l="1"/>
  <c r="N19" i="4"/>
  <c r="P18" i="4"/>
  <c r="X76" i="4"/>
  <c r="L18" i="4"/>
  <c r="Q39" i="4"/>
  <c r="Q38" i="4" s="1"/>
  <c r="Q19" i="4"/>
  <c r="Q18" i="4" s="1"/>
  <c r="W39" i="4"/>
  <c r="Z39" i="4" s="1"/>
  <c r="W19" i="4"/>
  <c r="Z19" i="4" s="1"/>
  <c r="L38" i="4"/>
  <c r="N39" i="4"/>
  <c r="L23" i="4"/>
  <c r="Q23" i="4" l="1"/>
  <c r="P23" i="4"/>
  <c r="L33" i="4"/>
  <c r="P33" i="4" l="1"/>
  <c r="Q33" i="4"/>
  <c r="L32" i="4"/>
  <c r="L44" i="4"/>
  <c r="P44" i="4" l="1"/>
  <c r="Q44" i="4"/>
  <c r="P32" i="4"/>
  <c r="Q32" i="4"/>
  <c r="Q31" i="4" s="1"/>
  <c r="L52" i="4"/>
  <c r="P52" i="4" l="1"/>
  <c r="Q52" i="4"/>
  <c r="P31" i="4"/>
  <c r="L62" i="4"/>
  <c r="H63" i="4"/>
  <c r="G63" i="4"/>
  <c r="E63" i="4"/>
  <c r="P62" i="4" l="1"/>
  <c r="Q62" i="4"/>
  <c r="L63" i="4"/>
  <c r="L10" i="4"/>
  <c r="P10" i="4" l="1"/>
  <c r="Q10" i="4"/>
  <c r="P63" i="4"/>
  <c r="Q63" i="4"/>
  <c r="L41" i="4"/>
  <c r="P41" i="4" l="1"/>
  <c r="Q41" i="4"/>
  <c r="L12" i="4"/>
  <c r="L13" i="4"/>
  <c r="P13" i="4" l="1"/>
  <c r="Q13" i="4"/>
  <c r="P12" i="4"/>
  <c r="P11" i="4" s="1"/>
  <c r="Q12" i="4"/>
  <c r="Q11" i="4" s="1"/>
  <c r="L66" i="4" l="1"/>
  <c r="P66" i="4" l="1"/>
  <c r="Q66" i="4"/>
  <c r="G15" i="4"/>
  <c r="L15" i="4" l="1"/>
  <c r="Q15" i="4" s="1"/>
  <c r="K46" i="4"/>
  <c r="P15" i="4" l="1"/>
  <c r="L21" i="4"/>
  <c r="Q21" i="4" l="1"/>
  <c r="P21" i="4"/>
  <c r="D46" i="4"/>
  <c r="E46" i="4"/>
  <c r="F46" i="4"/>
  <c r="G46" i="4"/>
  <c r="H46" i="4"/>
  <c r="I46" i="4"/>
  <c r="J46" i="4"/>
  <c r="C46" i="4"/>
  <c r="L47" i="4"/>
  <c r="L48" i="4"/>
  <c r="D49" i="4"/>
  <c r="E49" i="4"/>
  <c r="F49" i="4"/>
  <c r="G49" i="4"/>
  <c r="H49" i="4"/>
  <c r="I49" i="4"/>
  <c r="J49" i="4"/>
  <c r="K49" i="4"/>
  <c r="C49" i="4"/>
  <c r="L50" i="4"/>
  <c r="L51" i="4"/>
  <c r="L54" i="4"/>
  <c r="L55" i="4"/>
  <c r="D53" i="4"/>
  <c r="E53" i="4"/>
  <c r="F53" i="4"/>
  <c r="G53" i="4"/>
  <c r="H53" i="4"/>
  <c r="I53" i="4"/>
  <c r="J53" i="4"/>
  <c r="K53" i="4"/>
  <c r="C53" i="4"/>
  <c r="L57" i="4"/>
  <c r="L58" i="4"/>
  <c r="L59" i="4"/>
  <c r="D56" i="4"/>
  <c r="E56" i="4"/>
  <c r="F56" i="4"/>
  <c r="G56" i="4"/>
  <c r="H56" i="4"/>
  <c r="I56" i="4"/>
  <c r="J56" i="4"/>
  <c r="K56" i="4"/>
  <c r="C56" i="4"/>
  <c r="D60" i="4"/>
  <c r="F60" i="4"/>
  <c r="G60" i="4"/>
  <c r="H60" i="4"/>
  <c r="I60" i="4"/>
  <c r="J60" i="4"/>
  <c r="K60" i="4"/>
  <c r="C60" i="4"/>
  <c r="D65" i="4"/>
  <c r="E65" i="4"/>
  <c r="F65" i="4"/>
  <c r="H65" i="4"/>
  <c r="I65" i="4"/>
  <c r="J65" i="4"/>
  <c r="K65" i="4"/>
  <c r="C65" i="4"/>
  <c r="D34" i="4"/>
  <c r="E34" i="4"/>
  <c r="F34" i="4"/>
  <c r="G34" i="4"/>
  <c r="H34" i="4"/>
  <c r="I34" i="4"/>
  <c r="J34" i="4"/>
  <c r="K34" i="4"/>
  <c r="C34" i="4"/>
  <c r="D31" i="4"/>
  <c r="E31" i="4"/>
  <c r="F31" i="4"/>
  <c r="G31" i="4"/>
  <c r="H31" i="4"/>
  <c r="I31" i="4"/>
  <c r="J31" i="4"/>
  <c r="K31" i="4"/>
  <c r="L31" i="4"/>
  <c r="C31" i="4"/>
  <c r="D24" i="4"/>
  <c r="E24" i="4"/>
  <c r="F24" i="4"/>
  <c r="G24" i="4"/>
  <c r="H24" i="4"/>
  <c r="I24" i="4"/>
  <c r="J24" i="4"/>
  <c r="K24" i="4"/>
  <c r="C24" i="4"/>
  <c r="D11" i="4"/>
  <c r="E11" i="4"/>
  <c r="F11" i="4"/>
  <c r="G11" i="4"/>
  <c r="H11" i="4"/>
  <c r="I11" i="4"/>
  <c r="J11" i="4"/>
  <c r="K11" i="4"/>
  <c r="C11" i="4"/>
  <c r="L16" i="4"/>
  <c r="D14" i="4"/>
  <c r="E14" i="4"/>
  <c r="F14" i="4"/>
  <c r="G14" i="4"/>
  <c r="H14" i="4"/>
  <c r="I14" i="4"/>
  <c r="J14" i="4"/>
  <c r="K14" i="4"/>
  <c r="C14" i="4"/>
  <c r="D8" i="4"/>
  <c r="E8" i="4"/>
  <c r="F8" i="4"/>
  <c r="G8" i="4"/>
  <c r="H8" i="4"/>
  <c r="I8" i="4"/>
  <c r="J8" i="4"/>
  <c r="K8" i="4"/>
  <c r="C8" i="4"/>
  <c r="L9" i="4"/>
  <c r="P58" i="4" l="1"/>
  <c r="Q58" i="4"/>
  <c r="P54" i="4"/>
  <c r="Q54" i="4"/>
  <c r="P48" i="4"/>
  <c r="Q48" i="4"/>
  <c r="P47" i="4"/>
  <c r="Q47" i="4"/>
  <c r="P50" i="4"/>
  <c r="Q50" i="4"/>
  <c r="P57" i="4"/>
  <c r="Q57" i="4"/>
  <c r="P9" i="4"/>
  <c r="P8" i="4" s="1"/>
  <c r="Q9" i="4"/>
  <c r="Q8" i="4" s="1"/>
  <c r="P51" i="4"/>
  <c r="Q51" i="4"/>
  <c r="P16" i="4"/>
  <c r="P14" i="4" s="1"/>
  <c r="Q16" i="4"/>
  <c r="Q14" i="4" s="1"/>
  <c r="P59" i="4"/>
  <c r="Q59" i="4"/>
  <c r="P55" i="4"/>
  <c r="Q55" i="4"/>
  <c r="Q53" i="4" s="1"/>
  <c r="L56" i="4"/>
  <c r="L49" i="4"/>
  <c r="L46" i="4"/>
  <c r="L53" i="4"/>
  <c r="L14" i="4"/>
  <c r="L8" i="4"/>
  <c r="L45" i="4"/>
  <c r="G43" i="4"/>
  <c r="D43" i="4"/>
  <c r="D7" i="4" s="1"/>
  <c r="E43" i="4"/>
  <c r="F43" i="4"/>
  <c r="F7" i="4" s="1"/>
  <c r="H43" i="4"/>
  <c r="H7" i="4" s="1"/>
  <c r="I43" i="4"/>
  <c r="I7" i="4" s="1"/>
  <c r="J43" i="4"/>
  <c r="J7" i="4" s="1"/>
  <c r="K43" i="4"/>
  <c r="K7" i="4" s="1"/>
  <c r="C43" i="4"/>
  <c r="C7" i="4" s="1"/>
  <c r="P46" i="4" l="1"/>
  <c r="Q56" i="4"/>
  <c r="Q49" i="4"/>
  <c r="P56" i="4"/>
  <c r="P49" i="4"/>
  <c r="Q46" i="4"/>
  <c r="P45" i="4"/>
  <c r="Q45" i="4"/>
  <c r="Q43" i="4" s="1"/>
  <c r="P53" i="4"/>
  <c r="L30" i="4"/>
  <c r="P30" i="4" l="1"/>
  <c r="Q30" i="4"/>
  <c r="P43" i="4"/>
  <c r="L26" i="4"/>
  <c r="P26" i="4" l="1"/>
  <c r="Q26" i="4"/>
  <c r="Y76" i="4"/>
  <c r="S76" i="4"/>
  <c r="AA76" i="4" l="1"/>
  <c r="AA68" i="4"/>
  <c r="AA75" i="4" s="1"/>
  <c r="Z73" i="4"/>
  <c r="Z74" i="4"/>
  <c r="X68" i="4"/>
  <c r="W72" i="4"/>
  <c r="Z72" i="4" s="1"/>
  <c r="S70" i="4" l="1"/>
  <c r="S71" i="4"/>
  <c r="S72" i="4"/>
  <c r="S69" i="4"/>
  <c r="S11" i="4"/>
  <c r="S12" i="4"/>
  <c r="S13" i="4"/>
  <c r="S14" i="4"/>
  <c r="S17" i="4"/>
  <c r="S21" i="4"/>
  <c r="S22" i="4"/>
  <c r="S23" i="4"/>
  <c r="S24" i="4"/>
  <c r="S25" i="4"/>
  <c r="S26" i="4"/>
  <c r="S27" i="4"/>
  <c r="S28" i="4"/>
  <c r="S29" i="4"/>
  <c r="S30" i="4"/>
  <c r="S31" i="4"/>
  <c r="S35" i="4"/>
  <c r="S36" i="4"/>
  <c r="S37" i="4"/>
  <c r="S41" i="4"/>
  <c r="S42" i="4"/>
  <c r="S44" i="4"/>
  <c r="S45" i="4"/>
  <c r="S46" i="4"/>
  <c r="S49" i="4"/>
  <c r="S52" i="4"/>
  <c r="S53" i="4"/>
  <c r="S56" i="4"/>
  <c r="S59" i="4"/>
  <c r="S60" i="4"/>
  <c r="S64" i="4"/>
  <c r="S66" i="4"/>
  <c r="S67" i="4"/>
  <c r="Y70" i="4"/>
  <c r="Y71" i="4"/>
  <c r="Y72" i="4"/>
  <c r="Y73" i="4"/>
  <c r="Y74" i="4"/>
  <c r="Y69" i="4"/>
  <c r="Y11" i="4"/>
  <c r="Y12" i="4"/>
  <c r="Y13" i="4"/>
  <c r="Y14" i="4"/>
  <c r="Y17" i="4"/>
  <c r="Y21" i="4"/>
  <c r="Y22" i="4"/>
  <c r="Y23" i="4"/>
  <c r="Y24" i="4"/>
  <c r="Y25" i="4"/>
  <c r="Y26" i="4"/>
  <c r="Y27" i="4"/>
  <c r="Y28" i="4"/>
  <c r="Y29" i="4"/>
  <c r="Y30" i="4"/>
  <c r="Y31" i="4"/>
  <c r="Y35" i="4"/>
  <c r="Y36" i="4"/>
  <c r="Y37" i="4"/>
  <c r="Y41" i="4"/>
  <c r="Y42" i="4"/>
  <c r="Y44" i="4"/>
  <c r="Y45" i="4"/>
  <c r="Y46" i="4"/>
  <c r="Y49" i="4"/>
  <c r="Y52" i="4"/>
  <c r="Y53" i="4"/>
  <c r="Y56" i="4"/>
  <c r="Y59" i="4"/>
  <c r="Y60" i="4"/>
  <c r="Y64" i="4"/>
  <c r="Y66" i="4"/>
  <c r="Y67" i="4"/>
  <c r="Y8" i="4"/>
  <c r="E68" i="4"/>
  <c r="F68" i="4"/>
  <c r="G68" i="4"/>
  <c r="H68" i="4"/>
  <c r="I68" i="4"/>
  <c r="S65" i="4"/>
  <c r="S63" i="4"/>
  <c r="S43" i="4"/>
  <c r="S38" i="4"/>
  <c r="Y34" i="4"/>
  <c r="Y18" i="4"/>
  <c r="L74" i="4"/>
  <c r="P74" i="4" s="1"/>
  <c r="Y63" i="4" l="1"/>
  <c r="Y65" i="4"/>
  <c r="S34" i="4"/>
  <c r="R7" i="4"/>
  <c r="R75" i="4" s="1"/>
  <c r="S68" i="4"/>
  <c r="Y38" i="4"/>
  <c r="Y43" i="4"/>
  <c r="S18" i="4"/>
  <c r="O26" i="4"/>
  <c r="K68" i="4"/>
  <c r="S7" i="4" l="1"/>
  <c r="S75" i="4" s="1"/>
  <c r="J68" i="4"/>
  <c r="L73" i="4"/>
  <c r="L72" i="4" l="1"/>
  <c r="P72" i="4" s="1"/>
  <c r="P73" i="4"/>
  <c r="L35" i="4"/>
  <c r="P35" i="4" l="1"/>
  <c r="Q35" i="4"/>
  <c r="Q72" i="4"/>
  <c r="N72" i="4"/>
  <c r="N26" i="4"/>
  <c r="W26" i="4"/>
  <c r="Z26" i="4" s="1"/>
  <c r="R81" i="4" l="1"/>
  <c r="R80" i="4" l="1"/>
  <c r="R85" i="4" s="1"/>
  <c r="W84" i="4"/>
  <c r="O76" i="4"/>
  <c r="O70" i="4"/>
  <c r="O71" i="4"/>
  <c r="O73" i="4"/>
  <c r="O74" i="4"/>
  <c r="O69" i="4"/>
  <c r="O12" i="4"/>
  <c r="O13" i="4"/>
  <c r="O17" i="4"/>
  <c r="O21" i="4"/>
  <c r="O22" i="4"/>
  <c r="O23" i="4"/>
  <c r="O27" i="4"/>
  <c r="O28" i="4"/>
  <c r="O29" i="4"/>
  <c r="O30" i="4"/>
  <c r="O35" i="4"/>
  <c r="O36" i="4"/>
  <c r="O37" i="4"/>
  <c r="O41" i="4"/>
  <c r="O42" i="4"/>
  <c r="O44" i="4"/>
  <c r="O45" i="4"/>
  <c r="O52" i="4"/>
  <c r="O56" i="4"/>
  <c r="O59" i="4"/>
  <c r="O64" i="4"/>
  <c r="O66" i="4"/>
  <c r="O67" i="4"/>
  <c r="O68" i="4" l="1"/>
  <c r="W85" i="4"/>
  <c r="N76" i="4" l="1"/>
  <c r="N74" i="4"/>
  <c r="N73" i="4" l="1"/>
  <c r="O31" i="4" l="1"/>
  <c r="O46" i="4"/>
  <c r="N31" i="4" l="1"/>
  <c r="C68" i="4"/>
  <c r="H75" i="4" l="1"/>
  <c r="K75" i="4"/>
  <c r="J75" i="4"/>
  <c r="P71" i="4" l="1"/>
  <c r="Q71" i="4"/>
  <c r="N71" i="4"/>
  <c r="L64" i="4"/>
  <c r="P64" i="4" l="1"/>
  <c r="Q64" i="4"/>
  <c r="N64" i="4"/>
  <c r="O49" i="4"/>
  <c r="L28" i="4" l="1"/>
  <c r="Q28" i="4" s="1"/>
  <c r="N28" i="4" l="1"/>
  <c r="P28" i="4"/>
  <c r="P69" i="4" l="1"/>
  <c r="N69" i="4"/>
  <c r="N37" i="4" l="1"/>
  <c r="P37" i="4"/>
  <c r="L43" i="4"/>
  <c r="N45" i="4" l="1"/>
  <c r="W45" i="4"/>
  <c r="Z45" i="4" s="1"/>
  <c r="L27" i="4" l="1"/>
  <c r="Q27" i="4" s="1"/>
  <c r="N27" i="4" l="1"/>
  <c r="P27" i="4"/>
  <c r="N44" i="4"/>
  <c r="P70" i="4" l="1"/>
  <c r="L68" i="4"/>
  <c r="N53" i="4"/>
  <c r="P68" i="4" l="1"/>
  <c r="O53" i="4"/>
  <c r="N70" i="4"/>
  <c r="N68" i="4" s="1"/>
  <c r="O8" i="4" l="1"/>
  <c r="N30" i="4" l="1"/>
  <c r="O25" i="4" l="1"/>
  <c r="L25" i="4" l="1"/>
  <c r="P25" i="4" l="1"/>
  <c r="Q25" i="4"/>
  <c r="Q24" i="4" s="1"/>
  <c r="L24" i="4"/>
  <c r="N25" i="4"/>
  <c r="N41" i="4"/>
  <c r="P24" i="4" l="1"/>
  <c r="N35" i="4"/>
  <c r="C75" i="4" l="1"/>
  <c r="I75" i="4"/>
  <c r="F75" i="4"/>
  <c r="O14" i="4" l="1"/>
  <c r="N14" i="4"/>
  <c r="L22" i="4"/>
  <c r="Q22" i="4" s="1"/>
  <c r="L29" i="4"/>
  <c r="Q29" i="4" s="1"/>
  <c r="L36" i="4"/>
  <c r="Q36" i="4" s="1"/>
  <c r="Q34" i="4" s="1"/>
  <c r="N49" i="4"/>
  <c r="L34" i="4" l="1"/>
  <c r="P36" i="4"/>
  <c r="P34" i="4" s="1"/>
  <c r="N22" i="4"/>
  <c r="P22" i="4"/>
  <c r="N29" i="4"/>
  <c r="P29" i="4"/>
  <c r="N17" i="4"/>
  <c r="P17" i="4"/>
  <c r="N36" i="4"/>
  <c r="N8" i="4"/>
  <c r="L42" i="4"/>
  <c r="P42" i="4" l="1"/>
  <c r="Q42" i="4"/>
  <c r="N42" i="4"/>
  <c r="N66" i="4" l="1"/>
  <c r="W12" i="4" l="1"/>
  <c r="Z12" i="4" s="1"/>
  <c r="N12" i="4" l="1"/>
  <c r="N56" i="4" l="1"/>
  <c r="N59" i="4" l="1"/>
  <c r="N46" i="4" l="1"/>
  <c r="N52" i="4" l="1"/>
  <c r="L11" i="4" l="1"/>
  <c r="N13" i="4" l="1"/>
  <c r="W13" i="4" l="1"/>
  <c r="Z13" i="4" s="1"/>
  <c r="W25" i="4"/>
  <c r="Z25" i="4" s="1"/>
  <c r="X7" i="4" l="1"/>
  <c r="X75" i="4" s="1"/>
  <c r="N23" i="4"/>
  <c r="N21" i="4"/>
  <c r="Q70" i="4"/>
  <c r="Q73" i="4"/>
  <c r="Q74" i="4"/>
  <c r="Q69" i="4"/>
  <c r="Q68" i="4" s="1"/>
  <c r="W36" i="4"/>
  <c r="Z36" i="4" s="1"/>
  <c r="W66" i="4" l="1"/>
  <c r="Z66" i="4" s="1"/>
  <c r="W35" i="4"/>
  <c r="Z35" i="4" s="1"/>
  <c r="W44" i="4"/>
  <c r="Z44" i="4" s="1"/>
  <c r="A14" i="4" l="1"/>
  <c r="Y7" i="4" l="1"/>
  <c r="Y68" i="4" l="1"/>
  <c r="Y75" i="4" s="1"/>
  <c r="G65" i="4"/>
  <c r="G7" i="4" s="1"/>
  <c r="G75" i="4" s="1"/>
  <c r="L67" i="4"/>
  <c r="P67" i="4" l="1"/>
  <c r="P65" i="4" s="1"/>
  <c r="Q67" i="4"/>
  <c r="Q65" i="4" s="1"/>
  <c r="W67" i="4"/>
  <c r="Z67" i="4" s="1"/>
  <c r="N67" i="4"/>
  <c r="L65" i="4"/>
  <c r="E60" i="4" l="1"/>
  <c r="E7" i="4" s="1"/>
  <c r="E75" i="4" s="1"/>
  <c r="L61" i="4"/>
  <c r="Q61" i="4" s="1"/>
  <c r="Q60" i="4" s="1"/>
  <c r="Q7" i="4" s="1"/>
  <c r="L60" i="4" l="1"/>
  <c r="N60" i="4" s="1"/>
  <c r="N7" i="4" s="1"/>
  <c r="N75" i="4" s="1"/>
  <c r="P61" i="4"/>
  <c r="P60" i="4" s="1"/>
  <c r="Q75" i="4"/>
  <c r="O60" i="4"/>
  <c r="O7" i="4" s="1"/>
  <c r="O75" i="4" s="1"/>
  <c r="P7" i="4" l="1"/>
  <c r="P75" i="4" s="1"/>
  <c r="L7" i="4"/>
  <c r="L75" i="4" s="1"/>
  <c r="AD21" i="4" l="1"/>
  <c r="AD25" i="4" s="1"/>
  <c r="D68" i="4"/>
  <c r="D75" i="4" s="1"/>
  <c r="T60" i="4" l="1"/>
  <c r="T38" i="4"/>
  <c r="V38" i="4" s="1"/>
  <c r="T52" i="4"/>
  <c r="V52" i="4" s="1"/>
  <c r="T21" i="4"/>
  <c r="W21" i="4" s="1"/>
  <c r="Z21" i="4" s="1"/>
  <c r="T46" i="4"/>
  <c r="V46" i="4" s="1"/>
  <c r="T43" i="4"/>
  <c r="V43" i="4" s="1"/>
  <c r="T28" i="4"/>
  <c r="W28" i="4" s="1"/>
  <c r="Z28" i="4" s="1"/>
  <c r="T70" i="4"/>
  <c r="V70" i="4" s="1"/>
  <c r="T22" i="4"/>
  <c r="W22" i="4" s="1"/>
  <c r="Z22" i="4" s="1"/>
  <c r="T69" i="4"/>
  <c r="V69" i="4" s="1"/>
  <c r="T34" i="4"/>
  <c r="W34" i="4" s="1"/>
  <c r="Z34" i="4" s="1"/>
  <c r="T41" i="4"/>
  <c r="V41" i="4" s="1"/>
  <c r="T56" i="4"/>
  <c r="W56" i="4" s="1"/>
  <c r="Z56" i="4" s="1"/>
  <c r="T29" i="4"/>
  <c r="W29" i="4" s="1"/>
  <c r="Z29" i="4" s="1"/>
  <c r="T18" i="4"/>
  <c r="V18" i="4" s="1"/>
  <c r="T63" i="4"/>
  <c r="W63" i="4" s="1"/>
  <c r="Z63" i="4" s="1"/>
  <c r="T14" i="4"/>
  <c r="W14" i="4" s="1"/>
  <c r="Z14" i="4" s="1"/>
  <c r="T49" i="4"/>
  <c r="V49" i="4" s="1"/>
  <c r="T30" i="4"/>
  <c r="W30" i="4" s="1"/>
  <c r="Z30" i="4" s="1"/>
  <c r="T24" i="4"/>
  <c r="V24" i="4" s="1"/>
  <c r="T23" i="4"/>
  <c r="W23" i="4" s="1"/>
  <c r="Z23" i="4" s="1"/>
  <c r="T59" i="4"/>
  <c r="W59" i="4" s="1"/>
  <c r="Z59" i="4" s="1"/>
  <c r="T37" i="4"/>
  <c r="W37" i="4" s="1"/>
  <c r="Z37" i="4" s="1"/>
  <c r="T31" i="4"/>
  <c r="W31" i="4" s="1"/>
  <c r="Z31" i="4" s="1"/>
  <c r="T11" i="4"/>
  <c r="W11" i="4" s="1"/>
  <c r="Z11" i="4" s="1"/>
  <c r="V8" i="4"/>
  <c r="T53" i="4"/>
  <c r="V53" i="4" s="1"/>
  <c r="T64" i="4"/>
  <c r="V64" i="4" s="1"/>
  <c r="T27" i="4"/>
  <c r="V27" i="4" s="1"/>
  <c r="V17" i="4"/>
  <c r="T65" i="4"/>
  <c r="W65" i="4" s="1"/>
  <c r="Z65" i="4" s="1"/>
  <c r="T71" i="4"/>
  <c r="V71" i="4" s="1"/>
  <c r="T42" i="4"/>
  <c r="W42" i="4" s="1"/>
  <c r="Z42" i="4" s="1"/>
  <c r="W46" i="4"/>
  <c r="Z46" i="4" s="1"/>
  <c r="W38" i="4"/>
  <c r="Z38" i="4" s="1"/>
  <c r="W69" i="4"/>
  <c r="W27" i="4" l="1"/>
  <c r="Z27" i="4" s="1"/>
  <c r="V42" i="4"/>
  <c r="V23" i="4"/>
  <c r="V14" i="4"/>
  <c r="V11" i="4"/>
  <c r="V56" i="4"/>
  <c r="V22" i="4"/>
  <c r="T68" i="4"/>
  <c r="W71" i="4"/>
  <c r="Z71" i="4" s="1"/>
  <c r="W41" i="4"/>
  <c r="Z41" i="4" s="1"/>
  <c r="W64" i="4"/>
  <c r="Z64" i="4" s="1"/>
  <c r="V63" i="4"/>
  <c r="V21" i="4"/>
  <c r="V31" i="4"/>
  <c r="W70" i="4"/>
  <c r="Z70" i="4" s="1"/>
  <c r="W24" i="4"/>
  <c r="Z24" i="4" s="1"/>
  <c r="W43" i="4"/>
  <c r="Z43" i="4" s="1"/>
  <c r="V59" i="4"/>
  <c r="V28" i="4"/>
  <c r="W8" i="4"/>
  <c r="Z8" i="4" s="1"/>
  <c r="W49" i="4"/>
  <c r="Z49" i="4" s="1"/>
  <c r="V29" i="4"/>
  <c r="W17" i="4"/>
  <c r="Z17" i="4" s="1"/>
  <c r="T7" i="4"/>
  <c r="T75" i="4" s="1"/>
  <c r="U97" i="4" s="1"/>
  <c r="V30" i="4"/>
  <c r="V37" i="4"/>
  <c r="V65" i="4"/>
  <c r="V34" i="4"/>
  <c r="W52" i="4"/>
  <c r="Z52" i="4" s="1"/>
  <c r="W18" i="4"/>
  <c r="Z18" i="4" s="1"/>
  <c r="W53" i="4"/>
  <c r="Z53" i="4" s="1"/>
  <c r="W60" i="4"/>
  <c r="Z60" i="4" s="1"/>
  <c r="V60" i="4"/>
  <c r="V68" i="4"/>
  <c r="Z69" i="4"/>
  <c r="W68" i="4" l="1"/>
  <c r="Z68" i="4"/>
  <c r="V7" i="4"/>
  <c r="V75" i="4" s="1"/>
  <c r="Z7" i="4"/>
  <c r="W7" i="4"/>
  <c r="W75" i="4" s="1"/>
  <c r="T80" i="4"/>
  <c r="Z75" i="4" l="1"/>
</calcChain>
</file>

<file path=xl/sharedStrings.xml><?xml version="1.0" encoding="utf-8"?>
<sst xmlns="http://schemas.openxmlformats.org/spreadsheetml/2006/main" count="114" uniqueCount="112">
  <si>
    <t>№</t>
  </si>
  <si>
    <t>Муниципальное образование</t>
  </si>
  <si>
    <t>Количество муниципальных маршрутов</t>
  </si>
  <si>
    <t>Планируемый пробег согласно расчета администрации МО, км</t>
  </si>
  <si>
    <r>
      <t xml:space="preserve">Предельная необходима сумма средств областного бюджета </t>
    </r>
    <r>
      <rPr>
        <b/>
        <sz val="11"/>
        <rFont val="Times New Roman"/>
        <family val="1"/>
        <charset val="204"/>
      </rPr>
      <t>Новосибирской области,</t>
    </r>
    <r>
      <rPr>
        <b/>
        <sz val="11"/>
        <color theme="1"/>
        <rFont val="Times New Roman"/>
        <family val="1"/>
        <charset val="204"/>
      </rPr>
      <t xml:space="preserve"> рублей</t>
    </r>
  </si>
  <si>
    <t>Необходимая сумма средств в бюджете МО на софинансирование расходных обязательств, рублей</t>
  </si>
  <si>
    <t>МУНИЦИПАЛЬНЫЕ РАЙОНЫ</t>
  </si>
  <si>
    <t>Барабинский район</t>
  </si>
  <si>
    <t>Здвинский район</t>
  </si>
  <si>
    <t>Искитимский район</t>
  </si>
  <si>
    <t>Колыванский район</t>
  </si>
  <si>
    <t>Коченевский район</t>
  </si>
  <si>
    <t>Кочковский район</t>
  </si>
  <si>
    <t>Краснозерский район</t>
  </si>
  <si>
    <t>Купинский район</t>
  </si>
  <si>
    <t>г.Купино</t>
  </si>
  <si>
    <t>Кыштовский район</t>
  </si>
  <si>
    <t>Мошковский район</t>
  </si>
  <si>
    <t>Ордынский район</t>
  </si>
  <si>
    <t>Усть-Таркский район</t>
  </si>
  <si>
    <t>Чистоозерный район</t>
  </si>
  <si>
    <t xml:space="preserve">Чулымский район </t>
  </si>
  <si>
    <t>ГОРОДСКИЕ ОКРУГА</t>
  </si>
  <si>
    <t>г.Искитим</t>
  </si>
  <si>
    <t>г. Бердск</t>
  </si>
  <si>
    <t>г. Обь</t>
  </si>
  <si>
    <t>г.Новосибирск (автобусы)</t>
  </si>
  <si>
    <t>г.Новосибирск (троллейбусы)</t>
  </si>
  <si>
    <t>Итого:</t>
  </si>
  <si>
    <t>Величина НМЦК в соответствии с приказом Минтранса РФ от 20.10.2021 №351, рублей</t>
  </si>
  <si>
    <t>ИТОГО ДОВЕДЕНО ПРЕДЕЛЬНЫХ ОБЪЕМОВ, рублей</t>
  </si>
  <si>
    <t>Перераспределение средств на возмещение затрат и недополученных доходов перевозчиков, возникающих в случае государственного регулирования тарифов при выполнении перевозок пассажиров автомобильным транспортом, рублей</t>
  </si>
  <si>
    <t>Максимальная стоимость работы</t>
  </si>
  <si>
    <t>Объем доходов от перевозки пассажиров с учетом возмещения за активацию соц.карт и продажи ЕСПБ</t>
  </si>
  <si>
    <t>Субсидия в целях государственного регулирования тарифов</t>
  </si>
  <si>
    <t>Субсидия в целях возмещения недополученных доходов за перевозку льготников</t>
  </si>
  <si>
    <t>г.Барабинск</t>
  </si>
  <si>
    <t>с.Довольное</t>
  </si>
  <si>
    <t>г.Чулым</t>
  </si>
  <si>
    <t>Затраты на видеонаблюдение</t>
  </si>
  <si>
    <t>ОБ, тыс.рублей</t>
  </si>
  <si>
    <t>МБ, тыс.рублей</t>
  </si>
  <si>
    <t>Новосибирский район</t>
  </si>
  <si>
    <t>р.п. Ордынское</t>
  </si>
  <si>
    <t>Перераспределение средств на приобретение (обновление) подвижного состава, рублей</t>
  </si>
  <si>
    <t>ИТОГО  ПРЕДЕЛЬНЫХ ОБЪЕМОВ НА НМЦК, рублей</t>
  </si>
  <si>
    <t>Перераспределение средств на организацию пассажирских перевозок, рублей</t>
  </si>
  <si>
    <t>Предельно необходимая сумма ОБ НСО (КБО 100%) ДЛЯ НЕТТО-КОНТРАКТОВ</t>
  </si>
  <si>
    <t>Предельно необходимая сумма ОБ НСО (КБО 100%) ДЛЯ БРУТТО-КОНТРАКТОВ</t>
  </si>
  <si>
    <t>Из них доведено на организацию перевозок по межмуниципальным маршрутам, рублей</t>
  </si>
  <si>
    <t xml:space="preserve">ПРЕДЛОЖЕНИЯ В ЗАКОН С УЧЕТОМ ЕДИНОГО КБО  </t>
  </si>
  <si>
    <t xml:space="preserve">г.Каргат </t>
  </si>
  <si>
    <t>Каргатский район</t>
  </si>
  <si>
    <t>р.п. Маслянино</t>
  </si>
  <si>
    <t>Предельный уровень софинансирования на 2025-2027 годы в соответствии с Распоряжением Правительства Новосибирской области от 13.08.2024 № 407-рп, %</t>
  </si>
  <si>
    <t>Карасукский муниципальный округ (+ г.Карасук)</t>
  </si>
  <si>
    <t>Барабинский район ВСЕГО</t>
  </si>
  <si>
    <t>Каргатский район ВСЕГО</t>
  </si>
  <si>
    <t>Купинский район ВСЕГО</t>
  </si>
  <si>
    <t xml:space="preserve">Маслянинский муниципальный округ </t>
  </si>
  <si>
    <t>Маслянинский муниципальный округ ВСЕГО</t>
  </si>
  <si>
    <t>Ордынский район ВСЕГО</t>
  </si>
  <si>
    <t>г.Новосибирск ВСЕГО</t>
  </si>
  <si>
    <t>Предложение МФиНП НСО (текущая редакция Закона)</t>
  </si>
  <si>
    <t xml:space="preserve">Планирование бюджета  </t>
  </si>
  <si>
    <t>Текущая редакция Закона</t>
  </si>
  <si>
    <t>Чулымский район ВСЕГО</t>
  </si>
  <si>
    <t>ДОП. ПОТРЕБНОСТЬ</t>
  </si>
  <si>
    <t>Субсидия в целях обновления подвижного состава (лимиты доведены МФ и НП НСО)</t>
  </si>
  <si>
    <t>Расчет начальной максимальной цены контракта в целях определения возможности софинансирования из областного бюджета Новосибирской области исполнения расходных обязательств муниципальных образований в части заключения муниципальных контрактов с перевозчиками и  определения доли софинансирования и потребности в бюджетных ассигнованиях областного бюджета Новосибирской области при формировании Закона об областном бюджете Новосибирской области на 2026-2028 годы</t>
  </si>
  <si>
    <t>Баганский район ВСЕГО</t>
  </si>
  <si>
    <t>Баганский район</t>
  </si>
  <si>
    <t>с. Баган</t>
  </si>
  <si>
    <t>Болотнинский район</t>
  </si>
  <si>
    <t>г.Болотное</t>
  </si>
  <si>
    <t>Куйбышевский район</t>
  </si>
  <si>
    <t>г.Куйбышев</t>
  </si>
  <si>
    <t>Куйбышевский район ВСЕГО</t>
  </si>
  <si>
    <t>Болотнинский район ВСЕГО</t>
  </si>
  <si>
    <t>р.п. Чаны</t>
  </si>
  <si>
    <t>с.Убинское</t>
  </si>
  <si>
    <t>Тогучинский район</t>
  </si>
  <si>
    <t>г.Тогучин</t>
  </si>
  <si>
    <t>Тогучинский район ВСЕГО</t>
  </si>
  <si>
    <t>р.п. Сузун</t>
  </si>
  <si>
    <t>с.Северное</t>
  </si>
  <si>
    <t>Черепановский район (+г. Черепаново)</t>
  </si>
  <si>
    <t xml:space="preserve">Татарский муниципальный округ </t>
  </si>
  <si>
    <t>Венгеровский муниципальный округ</t>
  </si>
  <si>
    <t>Доволенский муниципальный округ ВСЕГО</t>
  </si>
  <si>
    <t xml:space="preserve">Доволенский муниципальный округ   </t>
  </si>
  <si>
    <t>Северный муниципальный округ ВСЕГО</t>
  </si>
  <si>
    <t xml:space="preserve">Северный муниципальный округ   </t>
  </si>
  <si>
    <t>Сузунский муниципальный округ ВСЕГО</t>
  </si>
  <si>
    <t xml:space="preserve">Сузунский муниципальный округ   </t>
  </si>
  <si>
    <t>Убинский муниципальный округ</t>
  </si>
  <si>
    <t>Убинский муниципальный округ  ВСЕГО</t>
  </si>
  <si>
    <t>Чановский муниципальный округ</t>
  </si>
  <si>
    <t>Чановский муниципальный округ ВСЕГО</t>
  </si>
  <si>
    <t>МЕЖМУНИЦИПАЛЬНЫЕ МАРШРУТЫ ВСЕГО</t>
  </si>
  <si>
    <t>Маршруты Искитимского района</t>
  </si>
  <si>
    <t>Межмуниципальные маршруты действующие</t>
  </si>
  <si>
    <t>Предложение МФиНП НСО (индексация 5,7%)</t>
  </si>
  <si>
    <t>НМЦК</t>
  </si>
  <si>
    <t>ДОВЕЛИ</t>
  </si>
  <si>
    <t>КБО</t>
  </si>
  <si>
    <t>Предложения без учета снятия</t>
  </si>
  <si>
    <t>2028 (КБО 19,1%)</t>
  </si>
  <si>
    <t>ДОП. ПОТРЕБНОСТЬ (КБО 26,2%)</t>
  </si>
  <si>
    <t xml:space="preserve">ПРЕДЛОЖЕНИЯ МИНТРАНСА НСО С УЧЕТОМ ЕДИНОГО КБО   </t>
  </si>
  <si>
    <t>2027 (КБО 15,5%)</t>
  </si>
  <si>
    <t>2028 (КБО 15,5%)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</si>
</sst>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#,##0.0"/>
    <numFmt numFmtId="166" formatCode="#,##0_ ;\-#,##0\ "/>
    <numFmt numFmtId="167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AD2D2"/>
        <bgColor indexed="64"/>
      </patternFill>
    </fill>
    <fill>
      <patternFill patternType="solid">
        <fgColor theme="9" tint="0.59999389629810485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6" fillId="0" borderId="0"/>
    <xf numFmtId="167" fontId="16" fillId="0" borderId="0" applyFont="0" applyFill="0" applyBorder="0" applyAlignment="0" applyProtection="0"/>
  </cellStyleXfs>
  <cellXfs count="317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/>
    <xf numFmtId="0" fontId="2" fillId="6" borderId="7" xfId="0" applyFont="1" applyFill="1" applyBorder="1" applyAlignment="1">
      <alignment horizontal="center" vertical="center"/>
    </xf>
    <xf numFmtId="3" fontId="7" fillId="0" borderId="19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3" fontId="8" fillId="0" borderId="6" xfId="0" applyNumberFormat="1" applyFont="1" applyFill="1" applyBorder="1" applyAlignment="1">
      <alignment horizontal="center" vertical="center"/>
    </xf>
    <xf numFmtId="3" fontId="8" fillId="0" borderId="6" xfId="1" applyNumberFormat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7" xfId="0" applyFont="1" applyFill="1" applyBorder="1" applyAlignment="1">
      <alignment vertical="center"/>
    </xf>
    <xf numFmtId="0" fontId="0" fillId="0" borderId="0" xfId="0" applyAlignment="1">
      <alignment vertical="center"/>
    </xf>
    <xf numFmtId="3" fontId="8" fillId="0" borderId="6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/>
    <xf numFmtId="3" fontId="6" fillId="5" borderId="16" xfId="0" applyNumberFormat="1" applyFont="1" applyFill="1" applyBorder="1" applyAlignment="1">
      <alignment horizontal="center" vertical="center" wrapText="1"/>
    </xf>
    <xf numFmtId="3" fontId="6" fillId="5" borderId="25" xfId="0" applyNumberFormat="1" applyFont="1" applyFill="1" applyBorder="1" applyAlignment="1">
      <alignment horizontal="center" vertical="center" wrapText="1"/>
    </xf>
    <xf numFmtId="3" fontId="6" fillId="5" borderId="16" xfId="0" applyNumberFormat="1" applyFont="1" applyFill="1" applyBorder="1" applyAlignment="1">
      <alignment horizontal="center" vertical="center"/>
    </xf>
    <xf numFmtId="3" fontId="6" fillId="5" borderId="25" xfId="0" applyNumberFormat="1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3" fontId="6" fillId="4" borderId="14" xfId="0" applyNumberFormat="1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left" vertical="center"/>
    </xf>
    <xf numFmtId="3" fontId="6" fillId="0" borderId="13" xfId="0" applyNumberFormat="1" applyFont="1" applyFill="1" applyBorder="1" applyAlignment="1">
      <alignment horizontal="center" vertical="center"/>
    </xf>
    <xf numFmtId="0" fontId="2" fillId="0" borderId="13" xfId="0" applyFont="1" applyBorder="1"/>
    <xf numFmtId="0" fontId="2" fillId="0" borderId="31" xfId="0" applyFont="1" applyBorder="1"/>
    <xf numFmtId="3" fontId="7" fillId="3" borderId="13" xfId="0" applyNumberFormat="1" applyFont="1" applyFill="1" applyBorder="1" applyAlignment="1">
      <alignment horizontal="center" vertical="center"/>
    </xf>
    <xf numFmtId="3" fontId="6" fillId="5" borderId="30" xfId="0" applyNumberFormat="1" applyFont="1" applyFill="1" applyBorder="1" applyAlignment="1">
      <alignment horizontal="center" vertical="center" wrapText="1"/>
    </xf>
    <xf numFmtId="0" fontId="6" fillId="5" borderId="35" xfId="0" applyFont="1" applyFill="1" applyBorder="1" applyAlignment="1">
      <alignment horizontal="right" vertical="center"/>
    </xf>
    <xf numFmtId="3" fontId="6" fillId="5" borderId="34" xfId="0" applyNumberFormat="1" applyFont="1" applyFill="1" applyBorder="1" applyAlignment="1">
      <alignment horizontal="center" vertical="center" wrapText="1"/>
    </xf>
    <xf numFmtId="3" fontId="8" fillId="0" borderId="32" xfId="0" applyNumberFormat="1" applyFont="1" applyFill="1" applyBorder="1" applyAlignment="1">
      <alignment horizontal="center" vertical="center"/>
    </xf>
    <xf numFmtId="3" fontId="8" fillId="0" borderId="32" xfId="1" applyNumberFormat="1" applyFont="1" applyFill="1" applyBorder="1" applyAlignment="1">
      <alignment horizontal="center" vertical="center"/>
    </xf>
    <xf numFmtId="3" fontId="8" fillId="0" borderId="19" xfId="1" applyNumberFormat="1" applyFont="1" applyFill="1" applyBorder="1" applyAlignment="1">
      <alignment horizontal="center" vertical="center"/>
    </xf>
    <xf numFmtId="3" fontId="8" fillId="0" borderId="46" xfId="1" applyNumberFormat="1" applyFont="1" applyFill="1" applyBorder="1" applyAlignment="1">
      <alignment horizontal="center" vertical="center"/>
    </xf>
    <xf numFmtId="3" fontId="10" fillId="4" borderId="6" xfId="0" applyNumberFormat="1" applyFont="1" applyFill="1" applyBorder="1" applyAlignment="1">
      <alignment horizontal="center" vertical="center"/>
    </xf>
    <xf numFmtId="0" fontId="2" fillId="0" borderId="1" xfId="0" applyFont="1" applyBorder="1"/>
    <xf numFmtId="3" fontId="6" fillId="4" borderId="2" xfId="0" applyNumberFormat="1" applyFont="1" applyFill="1" applyBorder="1" applyAlignment="1">
      <alignment horizontal="center" vertical="center"/>
    </xf>
    <xf numFmtId="0" fontId="2" fillId="0" borderId="8" xfId="0" applyFont="1" applyBorder="1"/>
    <xf numFmtId="3" fontId="10" fillId="4" borderId="10" xfId="0" applyNumberFormat="1" applyFont="1" applyFill="1" applyBorder="1" applyAlignment="1">
      <alignment horizontal="center" vertical="center"/>
    </xf>
    <xf numFmtId="165" fontId="10" fillId="4" borderId="6" xfId="0" applyNumberFormat="1" applyFont="1" applyFill="1" applyBorder="1" applyAlignment="1">
      <alignment horizontal="center" vertical="center"/>
    </xf>
    <xf numFmtId="3" fontId="2" fillId="0" borderId="0" xfId="0" applyNumberFormat="1" applyFont="1"/>
    <xf numFmtId="165" fontId="2" fillId="0" borderId="0" xfId="0" applyNumberFormat="1" applyFont="1"/>
    <xf numFmtId="165" fontId="6" fillId="4" borderId="32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center" vertical="center"/>
    </xf>
    <xf numFmtId="165" fontId="6" fillId="0" borderId="0" xfId="0" applyNumberFormat="1" applyFont="1" applyFill="1" applyBorder="1" applyAlignment="1">
      <alignment horizontal="center" vertical="center"/>
    </xf>
    <xf numFmtId="3" fontId="6" fillId="0" borderId="45" xfId="0" applyNumberFormat="1" applyFont="1" applyFill="1" applyBorder="1" applyAlignment="1">
      <alignment horizontal="center" vertical="center"/>
    </xf>
    <xf numFmtId="3" fontId="14" fillId="0" borderId="0" xfId="0" applyNumberFormat="1" applyFont="1"/>
    <xf numFmtId="3" fontId="6" fillId="5" borderId="46" xfId="0" applyNumberFormat="1" applyFont="1" applyFill="1" applyBorder="1" applyAlignment="1">
      <alignment horizontal="center" vertical="center" wrapText="1"/>
    </xf>
    <xf numFmtId="3" fontId="9" fillId="5" borderId="30" xfId="0" applyNumberFormat="1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 wrapText="1"/>
    </xf>
    <xf numFmtId="3" fontId="8" fillId="0" borderId="7" xfId="1" applyNumberFormat="1" applyFont="1" applyFill="1" applyBorder="1" applyAlignment="1">
      <alignment horizontal="center" vertical="center"/>
    </xf>
    <xf numFmtId="165" fontId="8" fillId="4" borderId="54" xfId="0" applyNumberFormat="1" applyFont="1" applyFill="1" applyBorder="1" applyAlignment="1">
      <alignment horizontal="center" vertical="center"/>
    </xf>
    <xf numFmtId="165" fontId="8" fillId="4" borderId="55" xfId="0" applyNumberFormat="1" applyFont="1" applyFill="1" applyBorder="1" applyAlignment="1">
      <alignment horizontal="center" vertical="center"/>
    </xf>
    <xf numFmtId="3" fontId="8" fillId="4" borderId="1" xfId="0" applyNumberFormat="1" applyFont="1" applyFill="1" applyBorder="1" applyAlignment="1">
      <alignment horizontal="center" vertical="center"/>
    </xf>
    <xf numFmtId="3" fontId="8" fillId="4" borderId="8" xfId="0" applyNumberFormat="1" applyFont="1" applyFill="1" applyBorder="1" applyAlignment="1">
      <alignment horizontal="center" vertical="center"/>
    </xf>
    <xf numFmtId="3" fontId="8" fillId="4" borderId="31" xfId="0" applyNumberFormat="1" applyFont="1" applyFill="1" applyBorder="1" applyAlignment="1">
      <alignment horizontal="center" vertical="center"/>
    </xf>
    <xf numFmtId="3" fontId="9" fillId="5" borderId="43" xfId="0" applyNumberFormat="1" applyFont="1" applyFill="1" applyBorder="1" applyAlignment="1">
      <alignment horizontal="center" vertical="center" wrapText="1"/>
    </xf>
    <xf numFmtId="3" fontId="8" fillId="4" borderId="9" xfId="0" applyNumberFormat="1" applyFont="1" applyFill="1" applyBorder="1" applyAlignment="1">
      <alignment horizontal="center" vertical="center"/>
    </xf>
    <xf numFmtId="3" fontId="8" fillId="4" borderId="13" xfId="0" applyNumberFormat="1" applyFont="1" applyFill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4" borderId="25" xfId="0" applyFont="1" applyFill="1" applyBorder="1" applyAlignment="1">
      <alignment horizontal="center" vertical="center" wrapText="1"/>
    </xf>
    <xf numFmtId="0" fontId="6" fillId="4" borderId="51" xfId="0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horizontal="center" vertical="center" wrapText="1"/>
    </xf>
    <xf numFmtId="165" fontId="14" fillId="0" borderId="0" xfId="0" applyNumberFormat="1" applyFont="1"/>
    <xf numFmtId="165" fontId="15" fillId="0" borderId="0" xfId="0" applyNumberFormat="1" applyFont="1"/>
    <xf numFmtId="3" fontId="7" fillId="0" borderId="12" xfId="0" applyNumberFormat="1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 wrapText="1"/>
    </xf>
    <xf numFmtId="0" fontId="2" fillId="0" borderId="38" xfId="0" applyFont="1" applyBorder="1"/>
    <xf numFmtId="0" fontId="11" fillId="0" borderId="43" xfId="0" applyFont="1" applyFill="1" applyBorder="1" applyAlignment="1">
      <alignment horizontal="center" vertical="center"/>
    </xf>
    <xf numFmtId="3" fontId="6" fillId="4" borderId="15" xfId="0" applyNumberFormat="1" applyFont="1" applyFill="1" applyBorder="1" applyAlignment="1">
      <alignment horizontal="center" vertical="center"/>
    </xf>
    <xf numFmtId="165" fontId="10" fillId="4" borderId="12" xfId="0" applyNumberFormat="1" applyFont="1" applyFill="1" applyBorder="1" applyAlignment="1">
      <alignment horizontal="center" vertical="center"/>
    </xf>
    <xf numFmtId="3" fontId="10" fillId="4" borderId="11" xfId="0" applyNumberFormat="1" applyFont="1" applyFill="1" applyBorder="1" applyAlignment="1">
      <alignment horizontal="center" vertical="center"/>
    </xf>
    <xf numFmtId="3" fontId="6" fillId="0" borderId="52" xfId="0" applyNumberFormat="1" applyFont="1" applyFill="1" applyBorder="1" applyAlignment="1">
      <alignment horizontal="center" vertical="center"/>
    </xf>
    <xf numFmtId="3" fontId="6" fillId="4" borderId="33" xfId="0" applyNumberFormat="1" applyFont="1" applyFill="1" applyBorder="1" applyAlignment="1">
      <alignment horizontal="center" vertical="center"/>
    </xf>
    <xf numFmtId="3" fontId="6" fillId="0" borderId="17" xfId="0" applyNumberFormat="1" applyFont="1" applyFill="1" applyBorder="1" applyAlignment="1">
      <alignment horizontal="center" vertical="center"/>
    </xf>
    <xf numFmtId="3" fontId="6" fillId="4" borderId="25" xfId="0" applyNumberFormat="1" applyFont="1" applyFill="1" applyBorder="1" applyAlignment="1">
      <alignment horizontal="center" vertical="center"/>
    </xf>
    <xf numFmtId="3" fontId="6" fillId="4" borderId="59" xfId="0" applyNumberFormat="1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left" vertical="center"/>
    </xf>
    <xf numFmtId="0" fontId="7" fillId="4" borderId="8" xfId="0" applyFont="1" applyFill="1" applyBorder="1" applyAlignment="1">
      <alignment horizontal="left"/>
    </xf>
    <xf numFmtId="0" fontId="7" fillId="4" borderId="13" xfId="0" applyFont="1" applyFill="1" applyBorder="1" applyAlignment="1">
      <alignment horizontal="left" vertical="center"/>
    </xf>
    <xf numFmtId="3" fontId="6" fillId="4" borderId="45" xfId="0" applyNumberFormat="1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left" vertical="center"/>
    </xf>
    <xf numFmtId="0" fontId="8" fillId="0" borderId="31" xfId="0" applyFont="1" applyFill="1" applyBorder="1" applyAlignment="1">
      <alignment horizontal="left" vertical="center"/>
    </xf>
    <xf numFmtId="3" fontId="8" fillId="4" borderId="6" xfId="0" applyNumberFormat="1" applyFont="1" applyFill="1" applyBorder="1" applyAlignment="1">
      <alignment horizontal="center" vertical="center"/>
    </xf>
    <xf numFmtId="3" fontId="8" fillId="4" borderId="6" xfId="1" applyNumberFormat="1" applyFont="1" applyFill="1" applyBorder="1" applyAlignment="1">
      <alignment horizontal="center" vertical="center"/>
    </xf>
    <xf numFmtId="3" fontId="8" fillId="4" borderId="14" xfId="0" applyNumberFormat="1" applyFont="1" applyFill="1" applyBorder="1" applyAlignment="1">
      <alignment horizontal="center" vertical="center" wrapText="1"/>
    </xf>
    <xf numFmtId="166" fontId="8" fillId="4" borderId="14" xfId="1" applyNumberFormat="1" applyFont="1" applyFill="1" applyBorder="1" applyAlignment="1">
      <alignment horizontal="center" vertical="center" wrapText="1"/>
    </xf>
    <xf numFmtId="166" fontId="8" fillId="4" borderId="19" xfId="1" applyNumberFormat="1" applyFont="1" applyFill="1" applyBorder="1" applyAlignment="1">
      <alignment horizontal="center" vertical="center" wrapText="1"/>
    </xf>
    <xf numFmtId="3" fontId="8" fillId="4" borderId="7" xfId="1" applyNumberFormat="1" applyFont="1" applyFill="1" applyBorder="1" applyAlignment="1">
      <alignment horizontal="center" vertical="center"/>
    </xf>
    <xf numFmtId="3" fontId="6" fillId="4" borderId="6" xfId="0" applyNumberFormat="1" applyFont="1" applyFill="1" applyBorder="1" applyAlignment="1">
      <alignment horizontal="center" vertical="center"/>
    </xf>
    <xf numFmtId="3" fontId="6" fillId="0" borderId="8" xfId="0" applyNumberFormat="1" applyFont="1" applyFill="1" applyBorder="1" applyAlignment="1">
      <alignment horizontal="center" vertical="center"/>
    </xf>
    <xf numFmtId="3" fontId="6" fillId="4" borderId="12" xfId="0" applyNumberFormat="1" applyFont="1" applyFill="1" applyBorder="1" applyAlignment="1">
      <alignment horizontal="center" vertical="center"/>
    </xf>
    <xf numFmtId="0" fontId="6" fillId="4" borderId="24" xfId="0" applyFont="1" applyFill="1" applyBorder="1" applyAlignment="1">
      <alignment horizontal="center" vertical="center" wrapText="1"/>
    </xf>
    <xf numFmtId="3" fontId="6" fillId="4" borderId="7" xfId="0" applyNumberFormat="1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 wrapText="1"/>
    </xf>
    <xf numFmtId="3" fontId="6" fillId="5" borderId="24" xfId="0" applyNumberFormat="1" applyFont="1" applyFill="1" applyBorder="1" applyAlignment="1">
      <alignment horizontal="center" vertical="center" wrapText="1"/>
    </xf>
    <xf numFmtId="3" fontId="8" fillId="4" borderId="19" xfId="0" applyNumberFormat="1" applyFont="1" applyFill="1" applyBorder="1" applyAlignment="1">
      <alignment horizontal="center" vertical="center"/>
    </xf>
    <xf numFmtId="3" fontId="8" fillId="4" borderId="7" xfId="0" applyNumberFormat="1" applyFont="1" applyFill="1" applyBorder="1" applyAlignment="1">
      <alignment horizontal="center" vertical="center"/>
    </xf>
    <xf numFmtId="3" fontId="8" fillId="4" borderId="65" xfId="0" applyNumberFormat="1" applyFont="1" applyFill="1" applyBorder="1" applyAlignment="1">
      <alignment horizontal="center" vertical="center"/>
    </xf>
    <xf numFmtId="3" fontId="6" fillId="0" borderId="60" xfId="0" applyNumberFormat="1" applyFont="1" applyFill="1" applyBorder="1" applyAlignment="1">
      <alignment horizontal="center" vertical="center"/>
    </xf>
    <xf numFmtId="3" fontId="7" fillId="3" borderId="8" xfId="0" applyNumberFormat="1" applyFont="1" applyFill="1" applyBorder="1" applyAlignment="1">
      <alignment horizontal="center" vertical="center"/>
    </xf>
    <xf numFmtId="3" fontId="8" fillId="4" borderId="3" xfId="0" applyNumberFormat="1" applyFont="1" applyFill="1" applyBorder="1" applyAlignment="1">
      <alignment horizontal="center" vertical="center"/>
    </xf>
    <xf numFmtId="3" fontId="8" fillId="4" borderId="5" xfId="0" applyNumberFormat="1" applyFont="1" applyFill="1" applyBorder="1" applyAlignment="1">
      <alignment horizontal="center" vertical="center"/>
    </xf>
    <xf numFmtId="3" fontId="6" fillId="0" borderId="37" xfId="0" applyNumberFormat="1" applyFont="1" applyFill="1" applyBorder="1" applyAlignment="1">
      <alignment horizontal="center" vertical="center"/>
    </xf>
    <xf numFmtId="3" fontId="6" fillId="0" borderId="24" xfId="0" applyNumberFormat="1" applyFont="1" applyFill="1" applyBorder="1" applyAlignment="1">
      <alignment horizontal="center" vertical="center"/>
    </xf>
    <xf numFmtId="3" fontId="6" fillId="0" borderId="66" xfId="0" applyNumberFormat="1" applyFont="1" applyFill="1" applyBorder="1" applyAlignment="1">
      <alignment horizontal="center" vertical="center"/>
    </xf>
    <xf numFmtId="3" fontId="6" fillId="5" borderId="17" xfId="0" applyNumberFormat="1" applyFont="1" applyFill="1" applyBorder="1" applyAlignment="1">
      <alignment horizontal="center" vertical="center" wrapText="1"/>
    </xf>
    <xf numFmtId="3" fontId="7" fillId="0" borderId="7" xfId="0" applyNumberFormat="1" applyFont="1" applyFill="1" applyBorder="1" applyAlignment="1">
      <alignment horizontal="center" vertical="center"/>
    </xf>
    <xf numFmtId="3" fontId="7" fillId="0" borderId="65" xfId="0" applyNumberFormat="1" applyFont="1" applyFill="1" applyBorder="1" applyAlignment="1">
      <alignment horizontal="center" vertical="center"/>
    </xf>
    <xf numFmtId="3" fontId="6" fillId="0" borderId="9" xfId="0" applyNumberFormat="1" applyFont="1" applyFill="1" applyBorder="1" applyAlignment="1">
      <alignment horizontal="center" vertical="center"/>
    </xf>
    <xf numFmtId="165" fontId="0" fillId="0" borderId="0" xfId="0" applyNumberFormat="1"/>
    <xf numFmtId="3" fontId="0" fillId="0" borderId="0" xfId="0" applyNumberFormat="1" applyFill="1"/>
    <xf numFmtId="0" fontId="6" fillId="3" borderId="22" xfId="0" applyFont="1" applyFill="1" applyBorder="1" applyAlignment="1">
      <alignment horizontal="center" vertical="center" wrapText="1"/>
    </xf>
    <xf numFmtId="3" fontId="0" fillId="0" borderId="0" xfId="0" applyNumberFormat="1"/>
    <xf numFmtId="3" fontId="6" fillId="4" borderId="37" xfId="0" applyNumberFormat="1" applyFont="1" applyFill="1" applyBorder="1" applyAlignment="1">
      <alignment horizontal="center" vertical="center"/>
    </xf>
    <xf numFmtId="3" fontId="6" fillId="4" borderId="26" xfId="0" applyNumberFormat="1" applyFont="1" applyFill="1" applyBorder="1" applyAlignment="1">
      <alignment horizontal="center" vertical="center"/>
    </xf>
    <xf numFmtId="165" fontId="10" fillId="4" borderId="38" xfId="0" applyNumberFormat="1" applyFont="1" applyFill="1" applyBorder="1" applyAlignment="1">
      <alignment horizontal="center" vertical="center"/>
    </xf>
    <xf numFmtId="3" fontId="10" fillId="4" borderId="58" xfId="0" applyNumberFormat="1" applyFont="1" applyFill="1" applyBorder="1" applyAlignment="1">
      <alignment horizontal="center" vertical="center"/>
    </xf>
    <xf numFmtId="3" fontId="6" fillId="4" borderId="49" xfId="0" applyNumberFormat="1" applyFont="1" applyFill="1" applyBorder="1" applyAlignment="1">
      <alignment horizontal="center" vertical="center"/>
    </xf>
    <xf numFmtId="3" fontId="6" fillId="4" borderId="8" xfId="0" applyNumberFormat="1" applyFont="1" applyFill="1" applyBorder="1" applyAlignment="1">
      <alignment horizontal="center" vertical="center"/>
    </xf>
    <xf numFmtId="0" fontId="6" fillId="4" borderId="16" xfId="0" applyFont="1" applyFill="1" applyBorder="1" applyAlignment="1">
      <alignment horizontal="center" vertical="center" wrapText="1"/>
    </xf>
    <xf numFmtId="3" fontId="6" fillId="0" borderId="19" xfId="0" applyNumberFormat="1" applyFont="1" applyFill="1" applyBorder="1" applyAlignment="1">
      <alignment horizontal="center" vertical="center"/>
    </xf>
    <xf numFmtId="3" fontId="6" fillId="0" borderId="7" xfId="0" applyNumberFormat="1" applyFont="1" applyFill="1" applyBorder="1" applyAlignment="1">
      <alignment horizontal="center" vertical="center"/>
    </xf>
    <xf numFmtId="3" fontId="6" fillId="0" borderId="5" xfId="0" applyNumberFormat="1" applyFont="1" applyFill="1" applyBorder="1" applyAlignment="1">
      <alignment horizontal="center" vertical="center"/>
    </xf>
    <xf numFmtId="165" fontId="10" fillId="4" borderId="60" xfId="0" applyNumberFormat="1" applyFont="1" applyFill="1" applyBorder="1" applyAlignment="1">
      <alignment horizontal="center" vertical="center"/>
    </xf>
    <xf numFmtId="3" fontId="10" fillId="4" borderId="57" xfId="0" applyNumberFormat="1" applyFont="1" applyFill="1" applyBorder="1" applyAlignment="1">
      <alignment horizontal="center" vertical="center"/>
    </xf>
    <xf numFmtId="165" fontId="6" fillId="4" borderId="61" xfId="0" applyNumberFormat="1" applyFont="1" applyFill="1" applyBorder="1" applyAlignment="1">
      <alignment horizontal="center" vertical="center"/>
    </xf>
    <xf numFmtId="3" fontId="6" fillId="5" borderId="17" xfId="0" applyNumberFormat="1" applyFont="1" applyFill="1" applyBorder="1" applyAlignment="1">
      <alignment horizontal="center" vertical="center"/>
    </xf>
    <xf numFmtId="3" fontId="6" fillId="4" borderId="10" xfId="0" applyNumberFormat="1" applyFont="1" applyFill="1" applyBorder="1" applyAlignment="1">
      <alignment horizontal="center" vertical="center"/>
    </xf>
    <xf numFmtId="165" fontId="6" fillId="4" borderId="12" xfId="0" applyNumberFormat="1" applyFont="1" applyFill="1" applyBorder="1" applyAlignment="1">
      <alignment horizontal="center" vertical="center"/>
    </xf>
    <xf numFmtId="165" fontId="6" fillId="4" borderId="11" xfId="0" applyNumberFormat="1" applyFont="1" applyFill="1" applyBorder="1" applyAlignment="1">
      <alignment horizontal="center" vertical="center"/>
    </xf>
    <xf numFmtId="3" fontId="9" fillId="4" borderId="8" xfId="0" applyNumberFormat="1" applyFont="1" applyFill="1" applyBorder="1" applyAlignment="1">
      <alignment horizontal="center" vertical="center"/>
    </xf>
    <xf numFmtId="3" fontId="6" fillId="4" borderId="32" xfId="0" applyNumberFormat="1" applyFont="1" applyFill="1" applyBorder="1" applyAlignment="1">
      <alignment horizontal="center" vertical="center"/>
    </xf>
    <xf numFmtId="165" fontId="6" fillId="0" borderId="8" xfId="0" applyNumberFormat="1" applyFont="1" applyFill="1" applyBorder="1" applyAlignment="1">
      <alignment horizontal="center" vertical="center"/>
    </xf>
    <xf numFmtId="3" fontId="6" fillId="4" borderId="31" xfId="0" applyNumberFormat="1" applyFont="1" applyFill="1" applyBorder="1" applyAlignment="1">
      <alignment horizontal="center" vertical="center"/>
    </xf>
    <xf numFmtId="3" fontId="6" fillId="5" borderId="43" xfId="0" applyNumberFormat="1" applyFont="1" applyFill="1" applyBorder="1" applyAlignment="1">
      <alignment horizontal="center" vertical="center" wrapText="1"/>
    </xf>
    <xf numFmtId="3" fontId="6" fillId="0" borderId="61" xfId="0" applyNumberFormat="1" applyFont="1" applyFill="1" applyBorder="1" applyAlignment="1">
      <alignment horizontal="center" vertical="center"/>
    </xf>
    <xf numFmtId="3" fontId="6" fillId="4" borderId="1" xfId="0" applyNumberFormat="1" applyFont="1" applyFill="1" applyBorder="1" applyAlignment="1">
      <alignment horizontal="center" vertical="center"/>
    </xf>
    <xf numFmtId="3" fontId="8" fillId="0" borderId="14" xfId="0" applyNumberFormat="1" applyFont="1" applyFill="1" applyBorder="1" applyAlignment="1">
      <alignment horizontal="center" vertical="center"/>
    </xf>
    <xf numFmtId="166" fontId="8" fillId="0" borderId="6" xfId="1" applyNumberFormat="1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left"/>
    </xf>
    <xf numFmtId="0" fontId="8" fillId="0" borderId="8" xfId="0" applyFont="1" applyFill="1" applyBorder="1" applyAlignment="1">
      <alignment horizontal="left" vertical="center" wrapText="1"/>
    </xf>
    <xf numFmtId="3" fontId="8" fillId="0" borderId="14" xfId="1" applyNumberFormat="1" applyFont="1" applyFill="1" applyBorder="1" applyAlignment="1">
      <alignment horizontal="center" vertical="center"/>
    </xf>
    <xf numFmtId="2" fontId="8" fillId="0" borderId="6" xfId="1" applyNumberFormat="1" applyFont="1" applyFill="1" applyBorder="1" applyAlignment="1">
      <alignment horizontal="center" vertical="center"/>
    </xf>
    <xf numFmtId="3" fontId="8" fillId="4" borderId="14" xfId="0" applyNumberFormat="1" applyFont="1" applyFill="1" applyBorder="1" applyAlignment="1">
      <alignment horizontal="center" vertical="center"/>
    </xf>
    <xf numFmtId="3" fontId="8" fillId="4" borderId="2" xfId="0" applyNumberFormat="1" applyFont="1" applyFill="1" applyBorder="1" applyAlignment="1">
      <alignment horizontal="center" vertical="center"/>
    </xf>
    <xf numFmtId="1" fontId="8" fillId="4" borderId="6" xfId="1" applyNumberFormat="1" applyFont="1" applyFill="1" applyBorder="1" applyAlignment="1">
      <alignment horizontal="center" vertical="center"/>
    </xf>
    <xf numFmtId="3" fontId="8" fillId="4" borderId="19" xfId="1" applyNumberFormat="1" applyFont="1" applyFill="1" applyBorder="1" applyAlignment="1">
      <alignment horizontal="center" vertical="center"/>
    </xf>
    <xf numFmtId="166" fontId="8" fillId="4" borderId="6" xfId="1" applyNumberFormat="1" applyFont="1" applyFill="1" applyBorder="1" applyAlignment="1">
      <alignment horizontal="center" vertical="center"/>
    </xf>
    <xf numFmtId="3" fontId="8" fillId="4" borderId="6" xfId="0" applyNumberFormat="1" applyFont="1" applyFill="1" applyBorder="1" applyAlignment="1">
      <alignment horizontal="center" vertical="center" wrapText="1"/>
    </xf>
    <xf numFmtId="3" fontId="8" fillId="4" borderId="44" xfId="0" applyNumberFormat="1" applyFont="1" applyFill="1" applyBorder="1" applyAlignment="1">
      <alignment horizontal="center" vertical="center"/>
    </xf>
    <xf numFmtId="3" fontId="8" fillId="4" borderId="7" xfId="0" applyNumberFormat="1" applyFont="1" applyFill="1" applyBorder="1" applyAlignment="1">
      <alignment horizontal="center" vertical="center" wrapText="1"/>
    </xf>
    <xf numFmtId="3" fontId="8" fillId="0" borderId="7" xfId="0" applyNumberFormat="1" applyFont="1" applyFill="1" applyBorder="1" applyAlignment="1">
      <alignment horizontal="center" vertical="center"/>
    </xf>
    <xf numFmtId="165" fontId="8" fillId="4" borderId="68" xfId="0" applyNumberFormat="1" applyFont="1" applyFill="1" applyBorder="1" applyAlignment="1">
      <alignment horizontal="center" vertical="center"/>
    </xf>
    <xf numFmtId="165" fontId="8" fillId="4" borderId="69" xfId="0" applyNumberFormat="1" applyFont="1" applyFill="1" applyBorder="1" applyAlignment="1">
      <alignment horizontal="center" vertical="center"/>
    </xf>
    <xf numFmtId="165" fontId="8" fillId="4" borderId="70" xfId="0" applyNumberFormat="1" applyFont="1" applyFill="1" applyBorder="1" applyAlignment="1">
      <alignment horizontal="center" vertical="center"/>
    </xf>
    <xf numFmtId="165" fontId="8" fillId="4" borderId="47" xfId="0" applyNumberFormat="1" applyFont="1" applyFill="1" applyBorder="1" applyAlignment="1">
      <alignment horizontal="center" vertical="center"/>
    </xf>
    <xf numFmtId="3" fontId="7" fillId="0" borderId="8" xfId="0" applyNumberFormat="1" applyFont="1" applyFill="1" applyBorder="1" applyAlignment="1">
      <alignment horizontal="center" vertical="center"/>
    </xf>
    <xf numFmtId="3" fontId="7" fillId="0" borderId="31" xfId="0" applyNumberFormat="1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 wrapText="1"/>
    </xf>
    <xf numFmtId="3" fontId="6" fillId="5" borderId="22" xfId="0" applyNumberFormat="1" applyFont="1" applyFill="1" applyBorder="1" applyAlignment="1">
      <alignment horizontal="center" vertical="center" wrapText="1"/>
    </xf>
    <xf numFmtId="3" fontId="6" fillId="5" borderId="53" xfId="0" applyNumberFormat="1" applyFont="1" applyFill="1" applyBorder="1" applyAlignment="1">
      <alignment horizontal="center" vertical="center" wrapText="1"/>
    </xf>
    <xf numFmtId="3" fontId="6" fillId="5" borderId="35" xfId="0" applyNumberFormat="1" applyFont="1" applyFill="1" applyBorder="1" applyAlignment="1">
      <alignment horizontal="center" vertical="center" wrapText="1"/>
    </xf>
    <xf numFmtId="3" fontId="6" fillId="5" borderId="67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/>
    </xf>
    <xf numFmtId="3" fontId="7" fillId="0" borderId="4" xfId="0" applyNumberFormat="1" applyFont="1" applyFill="1" applyBorder="1" applyAlignment="1">
      <alignment horizontal="center" vertical="center"/>
    </xf>
    <xf numFmtId="3" fontId="7" fillId="0" borderId="33" xfId="0" applyNumberFormat="1" applyFont="1" applyFill="1" applyBorder="1" applyAlignment="1">
      <alignment horizontal="center" vertical="center"/>
    </xf>
    <xf numFmtId="165" fontId="6" fillId="0" borderId="60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3" fontId="9" fillId="4" borderId="31" xfId="0" applyNumberFormat="1" applyFont="1" applyFill="1" applyBorder="1" applyAlignment="1">
      <alignment horizontal="center" vertical="center"/>
    </xf>
    <xf numFmtId="0" fontId="11" fillId="5" borderId="16" xfId="0" applyFont="1" applyFill="1" applyBorder="1" applyAlignment="1">
      <alignment horizontal="right" vertical="center"/>
    </xf>
    <xf numFmtId="3" fontId="6" fillId="5" borderId="24" xfId="0" applyNumberFormat="1" applyFont="1" applyFill="1" applyBorder="1" applyAlignment="1">
      <alignment horizontal="center" vertical="center"/>
    </xf>
    <xf numFmtId="3" fontId="6" fillId="5" borderId="20" xfId="0" applyNumberFormat="1" applyFont="1" applyFill="1" applyBorder="1" applyAlignment="1">
      <alignment horizontal="center" vertical="center"/>
    </xf>
    <xf numFmtId="165" fontId="6" fillId="5" borderId="16" xfId="0" applyNumberFormat="1" applyFont="1" applyFill="1" applyBorder="1" applyAlignment="1">
      <alignment horizontal="center" vertical="center"/>
    </xf>
    <xf numFmtId="165" fontId="6" fillId="5" borderId="24" xfId="0" applyNumberFormat="1" applyFont="1" applyFill="1" applyBorder="1" applyAlignment="1">
      <alignment horizontal="center" vertical="center"/>
    </xf>
    <xf numFmtId="0" fontId="6" fillId="7" borderId="1" xfId="0" applyFont="1" applyFill="1" applyBorder="1" applyAlignment="1">
      <alignment vertical="center"/>
    </xf>
    <xf numFmtId="3" fontId="6" fillId="7" borderId="2" xfId="0" applyNumberFormat="1" applyFont="1" applyFill="1" applyBorder="1" applyAlignment="1">
      <alignment horizontal="center" vertical="center"/>
    </xf>
    <xf numFmtId="165" fontId="6" fillId="7" borderId="2" xfId="0" applyNumberFormat="1" applyFont="1" applyFill="1" applyBorder="1" applyAlignment="1">
      <alignment horizontal="center" vertical="center"/>
    </xf>
    <xf numFmtId="165" fontId="6" fillId="7" borderId="4" xfId="0" applyNumberFormat="1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left" vertical="center"/>
    </xf>
    <xf numFmtId="3" fontId="6" fillId="7" borderId="3" xfId="0" applyNumberFormat="1" applyFont="1" applyFill="1" applyBorder="1" applyAlignment="1">
      <alignment horizontal="center" vertical="center"/>
    </xf>
    <xf numFmtId="3" fontId="8" fillId="0" borderId="65" xfId="1" applyNumberFormat="1" applyFont="1" applyFill="1" applyBorder="1" applyAlignment="1">
      <alignment horizontal="center" vertical="center"/>
    </xf>
    <xf numFmtId="3" fontId="6" fillId="7" borderId="59" xfId="0" applyNumberFormat="1" applyFont="1" applyFill="1" applyBorder="1" applyAlignment="1">
      <alignment horizontal="center" vertical="center"/>
    </xf>
    <xf numFmtId="3" fontId="6" fillId="7" borderId="68" xfId="0" applyNumberFormat="1" applyFont="1" applyFill="1" applyBorder="1" applyAlignment="1">
      <alignment horizontal="center" vertical="center"/>
    </xf>
    <xf numFmtId="165" fontId="6" fillId="7" borderId="59" xfId="0" applyNumberFormat="1" applyFont="1" applyFill="1" applyBorder="1" applyAlignment="1">
      <alignment horizontal="center" vertical="center"/>
    </xf>
    <xf numFmtId="165" fontId="6" fillId="7" borderId="1" xfId="0" applyNumberFormat="1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left"/>
    </xf>
    <xf numFmtId="0" fontId="8" fillId="4" borderId="1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horizontal="left" vertical="center"/>
    </xf>
    <xf numFmtId="0" fontId="8" fillId="4" borderId="13" xfId="0" applyFont="1" applyFill="1" applyBorder="1" applyAlignment="1">
      <alignment horizontal="left" vertical="center"/>
    </xf>
    <xf numFmtId="0" fontId="8" fillId="4" borderId="8" xfId="0" applyFont="1" applyFill="1" applyBorder="1" applyAlignment="1">
      <alignment horizontal="left" vertical="center"/>
    </xf>
    <xf numFmtId="0" fontId="8" fillId="4" borderId="8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center" vertical="center" wrapText="1"/>
    </xf>
    <xf numFmtId="165" fontId="6" fillId="5" borderId="16" xfId="0" applyNumberFormat="1" applyFont="1" applyFill="1" applyBorder="1" applyAlignment="1">
      <alignment horizontal="center" vertical="center" wrapText="1"/>
    </xf>
    <xf numFmtId="4" fontId="14" fillId="0" borderId="0" xfId="0" applyNumberFormat="1" applyFont="1"/>
    <xf numFmtId="3" fontId="6" fillId="0" borderId="31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17" fillId="0" borderId="0" xfId="0" applyFont="1"/>
    <xf numFmtId="3" fontId="6" fillId="4" borderId="3" xfId="0" applyNumberFormat="1" applyFont="1" applyFill="1" applyBorder="1" applyAlignment="1">
      <alignment horizontal="center" vertical="center"/>
    </xf>
    <xf numFmtId="3" fontId="6" fillId="4" borderId="7" xfId="0" applyNumberFormat="1" applyFont="1" applyFill="1" applyBorder="1" applyAlignment="1">
      <alignment vertical="center"/>
    </xf>
    <xf numFmtId="3" fontId="6" fillId="4" borderId="65" xfId="0" applyNumberFormat="1" applyFont="1" applyFill="1" applyBorder="1" applyAlignment="1">
      <alignment vertical="center"/>
    </xf>
    <xf numFmtId="3" fontId="6" fillId="4" borderId="13" xfId="0" applyNumberFormat="1" applyFont="1" applyFill="1" applyBorder="1" applyAlignment="1">
      <alignment horizontal="center" vertical="center"/>
    </xf>
    <xf numFmtId="165" fontId="6" fillId="4" borderId="33" xfId="0" applyNumberFormat="1" applyFont="1" applyFill="1" applyBorder="1" applyAlignment="1">
      <alignment horizontal="center" vertical="center"/>
    </xf>
    <xf numFmtId="3" fontId="6" fillId="5" borderId="63" xfId="0" applyNumberFormat="1" applyFont="1" applyFill="1" applyBorder="1" applyAlignment="1">
      <alignment horizontal="center" vertical="center"/>
    </xf>
    <xf numFmtId="3" fontId="6" fillId="0" borderId="70" xfId="0" applyNumberFormat="1" applyFont="1" applyFill="1" applyBorder="1" applyAlignment="1">
      <alignment horizontal="center" vertical="center"/>
    </xf>
    <xf numFmtId="3" fontId="6" fillId="0" borderId="6" xfId="0" applyNumberFormat="1" applyFont="1" applyFill="1" applyBorder="1" applyAlignment="1">
      <alignment horizontal="center" vertical="center"/>
    </xf>
    <xf numFmtId="165" fontId="6" fillId="0" borderId="12" xfId="0" applyNumberFormat="1" applyFont="1" applyFill="1" applyBorder="1" applyAlignment="1">
      <alignment horizontal="center" vertical="center"/>
    </xf>
    <xf numFmtId="165" fontId="6" fillId="0" borderId="7" xfId="0" applyNumberFormat="1" applyFont="1" applyFill="1" applyBorder="1" applyAlignment="1">
      <alignment horizontal="center" vertical="center"/>
    </xf>
    <xf numFmtId="165" fontId="6" fillId="0" borderId="6" xfId="0" applyNumberFormat="1" applyFont="1" applyFill="1" applyBorder="1" applyAlignment="1">
      <alignment horizontal="center" vertical="center"/>
    </xf>
    <xf numFmtId="3" fontId="6" fillId="0" borderId="71" xfId="0" applyNumberFormat="1" applyFont="1" applyFill="1" applyBorder="1" applyAlignment="1">
      <alignment horizontal="center" vertical="center"/>
    </xf>
    <xf numFmtId="3" fontId="6" fillId="0" borderId="32" xfId="0" applyNumberFormat="1" applyFont="1" applyFill="1" applyBorder="1" applyAlignment="1">
      <alignment horizontal="center" vertical="center"/>
    </xf>
    <xf numFmtId="3" fontId="6" fillId="0" borderId="65" xfId="0" applyNumberFormat="1" applyFont="1" applyFill="1" applyBorder="1" applyAlignment="1">
      <alignment horizontal="center" vertical="center"/>
    </xf>
    <xf numFmtId="165" fontId="6" fillId="0" borderId="31" xfId="0" applyNumberFormat="1" applyFont="1" applyFill="1" applyBorder="1" applyAlignment="1">
      <alignment horizontal="center" vertical="center"/>
    </xf>
    <xf numFmtId="165" fontId="6" fillId="0" borderId="33" xfId="0" applyNumberFormat="1" applyFont="1" applyFill="1" applyBorder="1" applyAlignment="1">
      <alignment horizontal="center" vertical="center"/>
    </xf>
    <xf numFmtId="165" fontId="6" fillId="0" borderId="61" xfId="0" applyNumberFormat="1" applyFont="1" applyFill="1" applyBorder="1" applyAlignment="1">
      <alignment horizontal="center" vertical="center"/>
    </xf>
    <xf numFmtId="165" fontId="6" fillId="0" borderId="65" xfId="0" applyNumberFormat="1" applyFont="1" applyFill="1" applyBorder="1" applyAlignment="1">
      <alignment horizontal="center" vertical="center"/>
    </xf>
    <xf numFmtId="165" fontId="6" fillId="0" borderId="32" xfId="0" applyNumberFormat="1" applyFont="1" applyFill="1" applyBorder="1" applyAlignment="1">
      <alignment horizontal="center" vertical="center"/>
    </xf>
    <xf numFmtId="3" fontId="6" fillId="7" borderId="1" xfId="0" applyNumberFormat="1" applyFont="1" applyFill="1" applyBorder="1" applyAlignment="1">
      <alignment horizontal="center" vertical="center"/>
    </xf>
    <xf numFmtId="3" fontId="6" fillId="7" borderId="4" xfId="0" applyNumberFormat="1" applyFont="1" applyFill="1" applyBorder="1" applyAlignment="1">
      <alignment horizontal="center" vertical="center"/>
    </xf>
    <xf numFmtId="0" fontId="6" fillId="4" borderId="36" xfId="0" applyFont="1" applyFill="1" applyBorder="1" applyAlignment="1">
      <alignment horizontal="center" vertical="center" wrapText="1"/>
    </xf>
    <xf numFmtId="3" fontId="6" fillId="4" borderId="72" xfId="0" applyNumberFormat="1" applyFont="1" applyFill="1" applyBorder="1" applyAlignment="1">
      <alignment horizontal="center" vertical="center"/>
    </xf>
    <xf numFmtId="3" fontId="6" fillId="4" borderId="38" xfId="0" applyNumberFormat="1" applyFont="1" applyFill="1" applyBorder="1" applyAlignment="1">
      <alignment horizontal="center" vertical="center"/>
    </xf>
    <xf numFmtId="3" fontId="10" fillId="4" borderId="38" xfId="0" applyNumberFormat="1" applyFont="1" applyFill="1" applyBorder="1" applyAlignment="1">
      <alignment horizontal="center" vertical="center"/>
    </xf>
    <xf numFmtId="165" fontId="6" fillId="7" borderId="72" xfId="0" applyNumberFormat="1" applyFont="1" applyFill="1" applyBorder="1" applyAlignment="1">
      <alignment horizontal="center" vertical="center"/>
    </xf>
    <xf numFmtId="165" fontId="6" fillId="0" borderId="38" xfId="0" applyNumberFormat="1" applyFont="1" applyFill="1" applyBorder="1" applyAlignment="1">
      <alignment horizontal="center" vertical="center"/>
    </xf>
    <xf numFmtId="165" fontId="6" fillId="0" borderId="49" xfId="0" applyNumberFormat="1" applyFont="1" applyFill="1" applyBorder="1" applyAlignment="1">
      <alignment horizontal="center" vertical="center"/>
    </xf>
    <xf numFmtId="3" fontId="6" fillId="4" borderId="60" xfId="0" applyNumberFormat="1" applyFont="1" applyFill="1" applyBorder="1" applyAlignment="1">
      <alignment horizontal="center" vertical="center"/>
    </xf>
    <xf numFmtId="3" fontId="6" fillId="4" borderId="61" xfId="0" applyNumberFormat="1" applyFont="1" applyFill="1" applyBorder="1" applyAlignment="1">
      <alignment horizontal="center" vertical="center"/>
    </xf>
    <xf numFmtId="3" fontId="9" fillId="4" borderId="6" xfId="0" applyNumberFormat="1" applyFont="1" applyFill="1" applyBorder="1" applyAlignment="1">
      <alignment horizontal="center" vertical="center"/>
    </xf>
    <xf numFmtId="3" fontId="9" fillId="4" borderId="2" xfId="0" applyNumberFormat="1" applyFont="1" applyFill="1" applyBorder="1" applyAlignment="1">
      <alignment horizontal="center" vertical="center"/>
    </xf>
    <xf numFmtId="3" fontId="6" fillId="4" borderId="4" xfId="0" applyNumberFormat="1" applyFont="1" applyFill="1" applyBorder="1" applyAlignment="1">
      <alignment horizontal="center" vertical="center"/>
    </xf>
    <xf numFmtId="3" fontId="9" fillId="4" borderId="32" xfId="0" applyNumberFormat="1" applyFont="1" applyFill="1" applyBorder="1" applyAlignment="1">
      <alignment horizontal="center" vertical="center"/>
    </xf>
    <xf numFmtId="49" fontId="2" fillId="0" borderId="0" xfId="0" applyNumberFormat="1" applyFont="1" applyAlignment="1">
      <alignment wrapText="1"/>
    </xf>
    <xf numFmtId="0" fontId="7" fillId="0" borderId="0" xfId="0" applyFont="1"/>
    <xf numFmtId="0" fontId="3" fillId="0" borderId="0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0" fontId="4" fillId="4" borderId="3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23" xfId="0" applyFont="1" applyFill="1" applyBorder="1" applyAlignment="1">
      <alignment horizontal="center" vertical="center" wrapText="1"/>
    </xf>
    <xf numFmtId="0" fontId="4" fillId="4" borderId="6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4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46" xfId="0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center" vertical="center" wrapText="1"/>
    </xf>
    <xf numFmtId="0" fontId="4" fillId="4" borderId="40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6" xfId="0" applyFont="1" applyBorder="1" applyAlignment="1">
      <alignment horizontal="center" vertical="center" wrapText="1"/>
    </xf>
    <xf numFmtId="0" fontId="13" fillId="0" borderId="57" xfId="0" applyFont="1" applyBorder="1" applyAlignment="1">
      <alignment horizontal="center" vertical="center" wrapText="1"/>
    </xf>
    <xf numFmtId="0" fontId="13" fillId="0" borderId="52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/>
    </xf>
    <xf numFmtId="0" fontId="7" fillId="0" borderId="49" xfId="0" applyFont="1" applyBorder="1" applyAlignment="1">
      <alignment horizontal="center"/>
    </xf>
    <xf numFmtId="0" fontId="7" fillId="0" borderId="5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44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4" fillId="4" borderId="53" xfId="0" applyFont="1" applyFill="1" applyBorder="1" applyAlignment="1">
      <alignment horizontal="center" vertical="center" wrapText="1"/>
    </xf>
    <xf numFmtId="0" fontId="4" fillId="4" borderId="56" xfId="0" applyFont="1" applyFill="1" applyBorder="1" applyAlignment="1">
      <alignment horizontal="center" vertical="center" wrapText="1"/>
    </xf>
    <xf numFmtId="0" fontId="4" fillId="4" borderId="47" xfId="0" applyFont="1" applyFill="1" applyBorder="1" applyAlignment="1">
      <alignment horizontal="center" vertical="center" wrapText="1"/>
    </xf>
    <xf numFmtId="0" fontId="4" fillId="4" borderId="39" xfId="0" applyFont="1" applyFill="1" applyBorder="1" applyAlignment="1">
      <alignment horizontal="center" vertical="center" wrapText="1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62" xfId="0" applyFont="1" applyBorder="1" applyAlignment="1">
      <alignment horizontal="center"/>
    </xf>
    <xf numFmtId="0" fontId="7" fillId="0" borderId="37" xfId="0" applyFont="1" applyBorder="1" applyAlignment="1">
      <alignment horizontal="center"/>
    </xf>
    <xf numFmtId="0" fontId="7" fillId="0" borderId="64" xfId="0" applyFont="1" applyBorder="1" applyAlignment="1">
      <alignment horizontal="center"/>
    </xf>
    <xf numFmtId="0" fontId="12" fillId="0" borderId="20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63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6" fillId="4" borderId="34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center" wrapText="1"/>
    </xf>
    <xf numFmtId="49" fontId="7" fillId="0" borderId="0" xfId="0" applyNumberFormat="1" applyFont="1" applyAlignment="1">
      <alignment horizontal="left" vertical="center" wrapText="1"/>
    </xf>
  </cellXfs>
  <cellStyles count="4">
    <cellStyle name="Обычный" xfId="0" builtinId="0"/>
    <cellStyle name="Обычный 2" xfId="2" xr:uid="{00000000-0005-0000-0000-000001000000}"/>
    <cellStyle name="Финансовый" xfId="1" builtinId="3"/>
    <cellStyle name="Финансовый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8;&#1088;&#1072;&#1085;&#1089;&#1087;.&#1088;&#1072;&#1073;&#1086;&#1090;&#1072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Data\mednik\&#1056;&#1072;&#1073;&#1086;&#1095;&#1080;&#1081;%20&#1089;&#1090;&#1086;&#1083;\2026\&#1056;&#1040;&#1049;&#1054;&#1053;&#1067;\&#1041;&#1086;&#1083;&#1086;&#1090;&#1085;&#1080;&#1085;&#1089;&#1082;&#1080;&#1081;\&#1056;&#1072;&#1089;&#1095;&#1077;&#1090;_&#1053;&#1052;&#1062;&#1050;_2026%20(&#1088;&#1072;&#1081;&#1086;&#1085;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Data\mednik\&#1056;&#1072;&#1073;&#1086;&#1095;&#1080;&#1081;%20&#1089;&#1090;&#1086;&#1083;\2026\&#1056;&#1040;&#1049;&#1054;&#1053;&#1067;\&#1058;&#1086;&#1075;&#1091;&#1095;&#1080;&#1085;\&#1056;&#1072;&#1089;&#1095;&#1077;&#1090;_&#1053;&#1052;&#1062;&#1050;_2026%20&#1058;&#1086;&#1075;&#1091;&#1095;&#1080;&#1085;%201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Data\mednik\&#1056;&#1072;&#1073;&#1086;&#1095;&#1080;&#1081;%20&#1089;&#1090;&#1086;&#1083;\2026\&#1056;&#1040;&#1049;&#1054;&#1053;&#1067;\&#1063;&#1077;&#1088;&#1077;&#1087;&#1072;&#1085;&#1086;&#1074;&#1089;&#1082;&#1080;&#1081;\&#1056;&#1072;&#1089;&#1095;&#1077;&#1090;_&#1053;&#1052;&#1062;&#1050;_2026%20(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рансп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рансп.работа"/>
      <sheetName val="Оплата труда"/>
      <sheetName val="топливо"/>
      <sheetName val="износ и рем шин"/>
      <sheetName val="ТО и ремонт"/>
      <sheetName val="ОТ рем рабоч"/>
      <sheetName val="Прочие косв расх"/>
      <sheetName val="Себест 1 км"/>
      <sheetName val="Стоимость работы"/>
      <sheetName val="План.доход"/>
      <sheetName val="СУБСИДИИ ОБ"/>
      <sheetName val="Расчет НМЦ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33">
          <cell r="F33">
            <v>7697781.0548187485</v>
          </cell>
          <cell r="J33">
            <v>1537417.4423040003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рансп.работа"/>
      <sheetName val="Оплата труда"/>
      <sheetName val="топливо"/>
      <sheetName val="износ и рем шин"/>
      <sheetName val="ТО и ремонт"/>
      <sheetName val="ОТ рем рабоч"/>
      <sheetName val="Прочие косв расх"/>
      <sheetName val="Себест 1 км"/>
      <sheetName val="Стоимость работы"/>
      <sheetName val="План.доход"/>
      <sheetName val="СУБСИДИИ ОБ"/>
      <sheetName val="Расчет НМЦ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15">
          <cell r="C15">
            <v>98090326.158907861</v>
          </cell>
          <cell r="F15">
            <v>5361082.3679999998</v>
          </cell>
          <cell r="H15">
            <v>1753584.5283840003</v>
          </cell>
          <cell r="J15">
            <v>695845.23263999994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рансп.работа"/>
      <sheetName val="Оплата труда"/>
      <sheetName val="топливо"/>
      <sheetName val="износ и рем шин"/>
      <sheetName val="ТО и ремонт"/>
      <sheetName val="ОТ рем рабоч"/>
      <sheetName val="Прочие косв расх"/>
      <sheetName val="Себест 1 км"/>
      <sheetName val="Стоимость работы"/>
      <sheetName val="План.доход"/>
      <sheetName val="СУБСИДИИ ОБ"/>
      <sheetName val="Расчет НМЦ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46">
          <cell r="C46">
            <v>241827860.67279804</v>
          </cell>
          <cell r="F46">
            <v>29971618.84693395</v>
          </cell>
          <cell r="G46">
            <v>57126048.507813878</v>
          </cell>
          <cell r="J46">
            <v>4799847.997440001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99"/>
  <sheetViews>
    <sheetView tabSelected="1" topLeftCell="B40" zoomScale="85" zoomScaleNormal="85" workbookViewId="0">
      <pane xSplit="1" topLeftCell="C1" activePane="topRight" state="frozen"/>
      <selection activeCell="B5" sqref="B5"/>
      <selection pane="topRight" activeCell="B87" sqref="B87"/>
    </sheetView>
  </sheetViews>
  <sheetFormatPr defaultRowHeight="15" x14ac:dyDescent="0.25"/>
  <cols>
    <col min="1" max="1" width="6" style="1" hidden="1" customWidth="1"/>
    <col min="2" max="2" width="64.7109375" style="18" customWidth="1"/>
    <col min="3" max="3" width="16.42578125" style="18" customWidth="1"/>
    <col min="4" max="4" width="21" style="18" customWidth="1"/>
    <col min="5" max="5" width="20.42578125" style="18" customWidth="1"/>
    <col min="6" max="6" width="17.5703125" style="18" customWidth="1"/>
    <col min="7" max="8" width="19.140625" style="18" customWidth="1"/>
    <col min="9" max="9" width="19.5703125" style="18" customWidth="1"/>
    <col min="10" max="10" width="18.85546875" style="18" customWidth="1"/>
    <col min="11" max="11" width="19" style="18" customWidth="1"/>
    <col min="12" max="12" width="20.7109375" style="18" customWidth="1"/>
    <col min="13" max="13" width="17.7109375" style="18" customWidth="1"/>
    <col min="14" max="15" width="22.42578125" style="18" hidden="1" customWidth="1"/>
    <col min="16" max="16" width="21.5703125" style="18" customWidth="1"/>
    <col min="17" max="17" width="19.5703125" style="18" customWidth="1"/>
    <col min="18" max="18" width="22.7109375" style="18" customWidth="1"/>
    <col min="19" max="19" width="22.7109375" style="18" hidden="1" customWidth="1"/>
    <col min="20" max="20" width="23.5703125" style="18" customWidth="1"/>
    <col min="21" max="21" width="23.5703125" style="18" hidden="1" customWidth="1"/>
    <col min="22" max="22" width="18.7109375" style="18" hidden="1" customWidth="1"/>
    <col min="23" max="24" width="21" style="18" customWidth="1"/>
    <col min="25" max="25" width="21.5703125" style="18" hidden="1" customWidth="1"/>
    <col min="26" max="26" width="22.85546875" style="18" hidden="1" customWidth="1"/>
    <col min="27" max="27" width="19.85546875" hidden="1" customWidth="1"/>
    <col min="28" max="28" width="10.5703125" customWidth="1"/>
    <col min="29" max="29" width="16.28515625" customWidth="1"/>
    <col min="30" max="30" width="18.5703125" customWidth="1"/>
  </cols>
  <sheetData>
    <row r="1" spans="1:27" ht="87" customHeight="1" thickBot="1" x14ac:dyDescent="0.3">
      <c r="B1" s="240" t="s">
        <v>69</v>
      </c>
      <c r="C1" s="240"/>
      <c r="D1" s="240"/>
      <c r="E1" s="240"/>
      <c r="F1" s="240"/>
      <c r="G1" s="240"/>
      <c r="H1" s="240"/>
      <c r="I1" s="240"/>
      <c r="J1" s="240"/>
      <c r="K1" s="240"/>
      <c r="L1" s="240"/>
      <c r="M1" s="240"/>
      <c r="N1" s="240"/>
      <c r="O1" s="240"/>
      <c r="P1" s="240"/>
      <c r="Q1" s="240"/>
      <c r="R1" s="240"/>
      <c r="S1" s="240"/>
      <c r="T1" s="240"/>
      <c r="U1" s="240"/>
      <c r="V1" s="240"/>
      <c r="W1" s="240"/>
      <c r="X1" s="240"/>
      <c r="Y1" s="240"/>
      <c r="Z1" s="240"/>
    </row>
    <row r="2" spans="1:27" ht="61.5" customHeight="1" thickBot="1" x14ac:dyDescent="0.3">
      <c r="B2" s="281" t="s">
        <v>1</v>
      </c>
      <c r="C2" s="275" t="s">
        <v>2</v>
      </c>
      <c r="D2" s="275" t="s">
        <v>3</v>
      </c>
      <c r="E2" s="275" t="s">
        <v>32</v>
      </c>
      <c r="F2" s="259" t="s">
        <v>39</v>
      </c>
      <c r="G2" s="275" t="s">
        <v>33</v>
      </c>
      <c r="H2" s="275" t="s">
        <v>34</v>
      </c>
      <c r="I2" s="275" t="s">
        <v>35</v>
      </c>
      <c r="J2" s="287" t="s">
        <v>68</v>
      </c>
      <c r="K2" s="288"/>
      <c r="L2" s="284" t="s">
        <v>29</v>
      </c>
      <c r="M2" s="267" t="s">
        <v>54</v>
      </c>
      <c r="N2" s="294" t="s">
        <v>47</v>
      </c>
      <c r="O2" s="267" t="s">
        <v>48</v>
      </c>
      <c r="P2" s="304" t="s">
        <v>110</v>
      </c>
      <c r="Q2" s="305"/>
      <c r="R2" s="305"/>
      <c r="S2" s="305"/>
      <c r="T2" s="305"/>
      <c r="U2" s="305"/>
      <c r="V2" s="305"/>
      <c r="W2" s="307" t="s">
        <v>111</v>
      </c>
      <c r="X2" s="308"/>
      <c r="Y2" s="304" t="s">
        <v>107</v>
      </c>
      <c r="Z2" s="305"/>
      <c r="AA2" s="306"/>
    </row>
    <row r="3" spans="1:27" s="3" customFormat="1" ht="69.75" customHeight="1" thickBot="1" x14ac:dyDescent="0.25">
      <c r="A3" s="2" t="s">
        <v>0</v>
      </c>
      <c r="B3" s="282"/>
      <c r="C3" s="276"/>
      <c r="D3" s="276"/>
      <c r="E3" s="276"/>
      <c r="F3" s="260"/>
      <c r="G3" s="276"/>
      <c r="H3" s="276"/>
      <c r="I3" s="276"/>
      <c r="J3" s="289"/>
      <c r="K3" s="290"/>
      <c r="L3" s="285"/>
      <c r="M3" s="268"/>
      <c r="N3" s="295"/>
      <c r="O3" s="268"/>
      <c r="P3" s="256" t="s">
        <v>4</v>
      </c>
      <c r="Q3" s="241" t="s">
        <v>5</v>
      </c>
      <c r="R3" s="309" t="s">
        <v>64</v>
      </c>
      <c r="S3" s="310"/>
      <c r="T3" s="310"/>
      <c r="U3" s="310"/>
      <c r="V3" s="310"/>
      <c r="W3" s="244" t="s">
        <v>50</v>
      </c>
      <c r="X3" s="250" t="s">
        <v>67</v>
      </c>
      <c r="Y3" s="253" t="s">
        <v>63</v>
      </c>
      <c r="Z3" s="247" t="s">
        <v>50</v>
      </c>
      <c r="AA3" s="250" t="s">
        <v>67</v>
      </c>
    </row>
    <row r="4" spans="1:27" s="3" customFormat="1" ht="69.75" customHeight="1" x14ac:dyDescent="0.2">
      <c r="A4" s="2"/>
      <c r="B4" s="283"/>
      <c r="C4" s="277"/>
      <c r="D4" s="277"/>
      <c r="E4" s="277"/>
      <c r="F4" s="260"/>
      <c r="G4" s="277"/>
      <c r="H4" s="277"/>
      <c r="I4" s="277"/>
      <c r="J4" s="269" t="s">
        <v>40</v>
      </c>
      <c r="K4" s="271" t="s">
        <v>41</v>
      </c>
      <c r="L4" s="286"/>
      <c r="M4" s="268"/>
      <c r="N4" s="295"/>
      <c r="O4" s="268"/>
      <c r="P4" s="257"/>
      <c r="Q4" s="242"/>
      <c r="R4" s="261" t="s">
        <v>65</v>
      </c>
      <c r="S4" s="263" t="s">
        <v>102</v>
      </c>
      <c r="T4" s="273" t="s">
        <v>109</v>
      </c>
      <c r="U4" s="311" t="s">
        <v>106</v>
      </c>
      <c r="V4" s="265" t="s">
        <v>108</v>
      </c>
      <c r="W4" s="245"/>
      <c r="X4" s="251"/>
      <c r="Y4" s="254"/>
      <c r="Z4" s="248"/>
      <c r="AA4" s="251"/>
    </row>
    <row r="5" spans="1:27" s="3" customFormat="1" ht="42.75" customHeight="1" thickBot="1" x14ac:dyDescent="0.25">
      <c r="A5" s="2"/>
      <c r="B5" s="283"/>
      <c r="C5" s="277"/>
      <c r="D5" s="277"/>
      <c r="E5" s="277"/>
      <c r="F5" s="260"/>
      <c r="G5" s="277"/>
      <c r="H5" s="277"/>
      <c r="I5" s="277"/>
      <c r="J5" s="270"/>
      <c r="K5" s="272"/>
      <c r="L5" s="286"/>
      <c r="M5" s="268"/>
      <c r="N5" s="296"/>
      <c r="O5" s="297"/>
      <c r="P5" s="258"/>
      <c r="Q5" s="243"/>
      <c r="R5" s="262"/>
      <c r="S5" s="264"/>
      <c r="T5" s="274"/>
      <c r="U5" s="312"/>
      <c r="V5" s="266"/>
      <c r="W5" s="246"/>
      <c r="X5" s="252"/>
      <c r="Y5" s="255"/>
      <c r="Z5" s="249"/>
      <c r="AA5" s="251"/>
    </row>
    <row r="6" spans="1:27" s="3" customFormat="1" ht="25.5" customHeight="1" thickBot="1" x14ac:dyDescent="0.25">
      <c r="A6" s="2"/>
      <c r="B6" s="53">
        <v>1</v>
      </c>
      <c r="C6" s="54">
        <v>2</v>
      </c>
      <c r="D6" s="54">
        <v>3</v>
      </c>
      <c r="E6" s="54">
        <v>4</v>
      </c>
      <c r="F6" s="54">
        <v>5</v>
      </c>
      <c r="G6" s="54">
        <v>6</v>
      </c>
      <c r="H6" s="54">
        <v>7</v>
      </c>
      <c r="I6" s="54">
        <v>8</v>
      </c>
      <c r="J6" s="54">
        <v>9</v>
      </c>
      <c r="K6" s="54">
        <v>10</v>
      </c>
      <c r="L6" s="65">
        <v>11</v>
      </c>
      <c r="M6" s="68">
        <v>12</v>
      </c>
      <c r="N6" s="67">
        <v>13</v>
      </c>
      <c r="O6" s="66">
        <v>14</v>
      </c>
      <c r="P6" s="118">
        <v>13</v>
      </c>
      <c r="Q6" s="165">
        <v>14</v>
      </c>
      <c r="R6" s="198">
        <v>15</v>
      </c>
      <c r="S6" s="72">
        <v>16</v>
      </c>
      <c r="T6" s="126">
        <v>17</v>
      </c>
      <c r="U6" s="225">
        <v>18</v>
      </c>
      <c r="V6" s="98">
        <v>19</v>
      </c>
      <c r="W6" s="126">
        <v>20</v>
      </c>
      <c r="X6" s="66">
        <v>21</v>
      </c>
      <c r="Y6" s="100">
        <v>22</v>
      </c>
      <c r="Z6" s="55">
        <v>23</v>
      </c>
      <c r="AA6" s="66">
        <v>24</v>
      </c>
    </row>
    <row r="7" spans="1:27" s="3" customFormat="1" ht="33.75" customHeight="1" thickBot="1" x14ac:dyDescent="0.25">
      <c r="A7" s="2"/>
      <c r="B7" s="31" t="s">
        <v>6</v>
      </c>
      <c r="C7" s="32">
        <f>C8+C11+C14+C17+C18+C21+C22+C23+C24+C27+C28+C29+C30+C31+C34+C37+C38+C41+C42+C43+C46+C49+C52+C53+C56+C59+C60+C63+C64+C65</f>
        <v>700</v>
      </c>
      <c r="D7" s="32">
        <f>D8+D11+D14+D17+D18+D21+D22+D23+D24+D27+D28+D29+D30+D31+D34+D37+D38+D41+D42+D43+D46+D49+D52+D53+D56+D59+D60+D63+D64+D65</f>
        <v>21757845.596000001</v>
      </c>
      <c r="E7" s="32">
        <f>E8+E11+E14+E17+E18+E21+E22+E23+E24+E27+E28+E29+E30+E31+E34+E37+E38+E41+E42+E43+E46+E49+E52+E53+E56+E59+E60+E63+E64+E65</f>
        <v>2927942500.5294385</v>
      </c>
      <c r="F7" s="32">
        <f>F8+F11+F14+F17+F18+G21+F22+F23+F24+F27+F28+F29+F30+F31+F34+F37+F38+F41+F42+F43+F46+F49+F52+F53+F56+F59+F60+F63+F64+F65</f>
        <v>17352912.052367367</v>
      </c>
      <c r="G7" s="32">
        <f t="shared" ref="G7:L7" si="0">G8+G11+G14+G17+G18+G21+G22+G23+G24+G27+G28+G29+G30+G31+G34+G37+G38+G41+G42+G43+G46+G49+G52+G53+G56+G59+G60+G63+G64+G65</f>
        <v>353610588.80118883</v>
      </c>
      <c r="H7" s="32">
        <f t="shared" si="0"/>
        <v>869302430.25303924</v>
      </c>
      <c r="I7" s="32">
        <f t="shared" si="0"/>
        <v>143391980.85947198</v>
      </c>
      <c r="J7" s="32">
        <f t="shared" si="0"/>
        <v>0</v>
      </c>
      <c r="K7" s="32">
        <f t="shared" si="0"/>
        <v>0</v>
      </c>
      <c r="L7" s="32">
        <f t="shared" si="0"/>
        <v>1572944863.6435595</v>
      </c>
      <c r="M7" s="30"/>
      <c r="N7" s="19">
        <f>SUM(N8:N67)</f>
        <v>1047006299.9764102</v>
      </c>
      <c r="O7" s="101">
        <f>SUM(O8:O67)</f>
        <v>2061193860.4789569</v>
      </c>
      <c r="P7" s="166">
        <f>P8+P11+P14+P17+P18+P21+P22+P23+P24+P27+P28+P29+P30+P31+P34+P37+P38+P41+P42+P43+P46+P49+P52+P53+P56+P59+P60+P63+P64+P65</f>
        <v>1548266412.4905872</v>
      </c>
      <c r="Q7" s="167">
        <f>Q8+Q11+Q14+Q17+Q18+Q21+Q22+Q23+Q24+Q27+Q28+Q29+Q30+Q31+Q34+Q37+Q38+Q41+Q42+Q43+Q46+Q49+Q52+Q53+Q56+Q59+Q60+Q63+Q64+Q65</f>
        <v>24678451.152972355</v>
      </c>
      <c r="R7" s="19">
        <f>SUM(R8:R67)</f>
        <v>425730711.37139183</v>
      </c>
      <c r="S7" s="101">
        <f>SUM(S8:S67)</f>
        <v>447868708.36270428</v>
      </c>
      <c r="T7" s="141">
        <f>T8+T11+T14+T17+T18+T21+T23+T24+T27+T28+T29+T30+T31+T34+T37+T38+T41+T42+T43+T46+T49+T52+T53+T56+T59+T60+T63+T64+T65</f>
        <v>239687027.42267844</v>
      </c>
      <c r="U7" s="141">
        <f t="shared" ref="U7:V7" si="1">U8+U11+U14+U17+U18+U21+U23+U24+U27+U28+U29+U30+U31+U34+U37+U38+U41+U42+U43+U46+U49+U52+U53+U56+U59+U60+U63+U64+U65</f>
        <v>406030222.27524906</v>
      </c>
      <c r="V7" s="141">
        <f t="shared" si="1"/>
        <v>166343194.85257068</v>
      </c>
      <c r="W7" s="19">
        <f t="shared" ref="W7:Z7" si="2">SUM(W8:W67)</f>
        <v>239687027.42267844</v>
      </c>
      <c r="X7" s="20">
        <f t="shared" si="2"/>
        <v>0</v>
      </c>
      <c r="Y7" s="19" t="e">
        <f t="shared" si="2"/>
        <v>#REF!</v>
      </c>
      <c r="Z7" s="112">
        <f t="shared" si="2"/>
        <v>239687027.42267844</v>
      </c>
      <c r="AA7" s="20"/>
    </row>
    <row r="8" spans="1:27" ht="21.95" customHeight="1" x14ac:dyDescent="0.25">
      <c r="A8" s="4">
        <v>1</v>
      </c>
      <c r="B8" s="193" t="s">
        <v>70</v>
      </c>
      <c r="C8" s="151">
        <f>C9+C10</f>
        <v>12</v>
      </c>
      <c r="D8" s="151">
        <f t="shared" ref="D8:K8" si="3">D9+D10</f>
        <v>335323</v>
      </c>
      <c r="E8" s="151">
        <f t="shared" si="3"/>
        <v>42090833.813223429</v>
      </c>
      <c r="F8" s="151">
        <f t="shared" si="3"/>
        <v>0</v>
      </c>
      <c r="G8" s="151">
        <f t="shared" si="3"/>
        <v>3744440.214554125</v>
      </c>
      <c r="H8" s="151">
        <f t="shared" si="3"/>
        <v>16872246.828195844</v>
      </c>
      <c r="I8" s="151">
        <f t="shared" si="3"/>
        <v>1118800.733184</v>
      </c>
      <c r="J8" s="151">
        <f t="shared" si="3"/>
        <v>0</v>
      </c>
      <c r="K8" s="151">
        <f t="shared" si="3"/>
        <v>0</v>
      </c>
      <c r="L8" s="156">
        <f>L9+L10</f>
        <v>20355346.037289463</v>
      </c>
      <c r="M8" s="159">
        <v>99</v>
      </c>
      <c r="N8" s="64">
        <f>L8*M8/100</f>
        <v>20151792.576916568</v>
      </c>
      <c r="O8" s="102">
        <f>(E8+F8)*M8/100</f>
        <v>41669925.475091197</v>
      </c>
      <c r="P8" s="170">
        <f>P9+P10</f>
        <v>20151792.576916568</v>
      </c>
      <c r="Q8" s="171">
        <f>Q9+Q10</f>
        <v>203553.4603728948</v>
      </c>
      <c r="R8" s="26">
        <v>5715006.8184449682</v>
      </c>
      <c r="S8" s="109">
        <f>R8*1.052</f>
        <v>6012187.1730041066</v>
      </c>
      <c r="T8" s="174">
        <f>P8*$AD$25</f>
        <v>3119697.7606907128</v>
      </c>
      <c r="U8" s="235">
        <v>5284773.1845373819</v>
      </c>
      <c r="V8" s="236">
        <f>U8-T8</f>
        <v>2165075.423846669</v>
      </c>
      <c r="W8" s="86">
        <f>T8</f>
        <v>3119697.7606907128</v>
      </c>
      <c r="X8" s="75"/>
      <c r="Y8" s="26" t="e">
        <f>#REF!</f>
        <v>#REF!</v>
      </c>
      <c r="Z8" s="24">
        <f>W8</f>
        <v>3119697.7606907128</v>
      </c>
      <c r="AA8" s="75"/>
    </row>
    <row r="9" spans="1:27" ht="21.95" customHeight="1" x14ac:dyDescent="0.25">
      <c r="A9" s="4"/>
      <c r="B9" s="194" t="s">
        <v>71</v>
      </c>
      <c r="C9" s="144">
        <v>10</v>
      </c>
      <c r="D9" s="148">
        <v>309366</v>
      </c>
      <c r="E9" s="148">
        <v>36158812.461423032</v>
      </c>
      <c r="F9" s="148">
        <v>0</v>
      </c>
      <c r="G9" s="148">
        <v>3377010.6922684107</v>
      </c>
      <c r="H9" s="148">
        <v>16872246.828195844</v>
      </c>
      <c r="I9" s="148">
        <v>1118800.733184</v>
      </c>
      <c r="J9" s="148">
        <v>0</v>
      </c>
      <c r="K9" s="148">
        <v>0</v>
      </c>
      <c r="L9" s="56">
        <f t="shared" ref="L9" si="4">E9+F9-G9-H9-I9-K9-J9</f>
        <v>14790754.207774779</v>
      </c>
      <c r="M9" s="160">
        <v>99</v>
      </c>
      <c r="N9" s="64"/>
      <c r="O9" s="102"/>
      <c r="P9" s="163">
        <f t="shared" ref="P9:P67" si="5">L9*(M9/100)</f>
        <v>14642846.665697031</v>
      </c>
      <c r="Q9" s="71">
        <f t="shared" ref="Q9:Q67" si="6">L9*(1-M9/100)</f>
        <v>147907.54207774793</v>
      </c>
      <c r="R9" s="26"/>
      <c r="S9" s="109"/>
      <c r="T9" s="137"/>
      <c r="U9" s="234"/>
      <c r="V9" s="97">
        <f t="shared" ref="V9:V67" si="7">U9-T9</f>
        <v>0</v>
      </c>
      <c r="W9" s="86"/>
      <c r="X9" s="75"/>
      <c r="Y9" s="26"/>
      <c r="Z9" s="24"/>
      <c r="AA9" s="75"/>
    </row>
    <row r="10" spans="1:27" ht="21.95" customHeight="1" x14ac:dyDescent="0.25">
      <c r="A10" s="4"/>
      <c r="B10" s="194" t="s">
        <v>72</v>
      </c>
      <c r="C10" s="144">
        <v>2</v>
      </c>
      <c r="D10" s="148">
        <v>25957</v>
      </c>
      <c r="E10" s="148">
        <v>5932021.351800397</v>
      </c>
      <c r="F10" s="148">
        <v>0</v>
      </c>
      <c r="G10" s="148">
        <v>367429.52228571428</v>
      </c>
      <c r="H10" s="148">
        <v>0</v>
      </c>
      <c r="I10" s="148">
        <v>0</v>
      </c>
      <c r="J10" s="148">
        <v>0</v>
      </c>
      <c r="K10" s="148">
        <v>0</v>
      </c>
      <c r="L10" s="56">
        <f>E10+F10-G10-H10-I10-K10-J10</f>
        <v>5564591.8295146823</v>
      </c>
      <c r="M10" s="160">
        <v>99</v>
      </c>
      <c r="N10" s="64"/>
      <c r="O10" s="102"/>
      <c r="P10" s="163">
        <f t="shared" si="5"/>
        <v>5508945.9112195354</v>
      </c>
      <c r="Q10" s="71">
        <f t="shared" si="6"/>
        <v>55645.918295146876</v>
      </c>
      <c r="R10" s="26"/>
      <c r="S10" s="109"/>
      <c r="T10" s="137"/>
      <c r="U10" s="234"/>
      <c r="V10" s="97">
        <f t="shared" si="7"/>
        <v>0</v>
      </c>
      <c r="W10" s="86"/>
      <c r="X10" s="75"/>
      <c r="Y10" s="26"/>
      <c r="Z10" s="24"/>
      <c r="AA10" s="75"/>
    </row>
    <row r="11" spans="1:27" ht="21.95" customHeight="1" x14ac:dyDescent="0.25">
      <c r="A11" s="4"/>
      <c r="B11" s="195" t="s">
        <v>56</v>
      </c>
      <c r="C11" s="150">
        <f>C12+C13</f>
        <v>30</v>
      </c>
      <c r="D11" s="150">
        <f t="shared" ref="D11:L11" si="8">D12+D13</f>
        <v>1408324.57</v>
      </c>
      <c r="E11" s="150">
        <f t="shared" si="8"/>
        <v>154634863.92112753</v>
      </c>
      <c r="F11" s="150">
        <f t="shared" si="8"/>
        <v>0</v>
      </c>
      <c r="G11" s="150">
        <f t="shared" si="8"/>
        <v>25130273.688836202</v>
      </c>
      <c r="H11" s="150">
        <f t="shared" si="8"/>
        <v>44331500.126070581</v>
      </c>
      <c r="I11" s="150">
        <f t="shared" si="8"/>
        <v>18578651.037696004</v>
      </c>
      <c r="J11" s="150">
        <f t="shared" si="8"/>
        <v>0</v>
      </c>
      <c r="K11" s="150">
        <f t="shared" si="8"/>
        <v>0</v>
      </c>
      <c r="L11" s="102">
        <f t="shared" si="8"/>
        <v>66594439.068524741</v>
      </c>
      <c r="M11" s="160"/>
      <c r="N11" s="64"/>
      <c r="O11" s="102"/>
      <c r="P11" s="106">
        <f>P12+P13</f>
        <v>65757062.078663044</v>
      </c>
      <c r="Q11" s="71">
        <f>Q12+Q13</f>
        <v>837376.98986169905</v>
      </c>
      <c r="R11" s="96">
        <v>17925281.905942827</v>
      </c>
      <c r="S11" s="109">
        <f t="shared" ref="S11:S67" si="9">R11*1.052</f>
        <v>18857396.565051854</v>
      </c>
      <c r="T11" s="137">
        <f>P11*$AD$25</f>
        <v>10179846.707602136</v>
      </c>
      <c r="U11" s="234">
        <v>17244677.218707815</v>
      </c>
      <c r="V11" s="97">
        <f t="shared" si="7"/>
        <v>7064830.511105679</v>
      </c>
      <c r="W11" s="232">
        <f>T11</f>
        <v>10179846.707602136</v>
      </c>
      <c r="X11" s="97"/>
      <c r="Y11" s="96" t="e">
        <f>#REF!</f>
        <v>#REF!</v>
      </c>
      <c r="Z11" s="95">
        <f t="shared" ref="Z11:Z67" si="10">W11</f>
        <v>10179846.707602136</v>
      </c>
      <c r="AA11" s="97"/>
    </row>
    <row r="12" spans="1:27" ht="21.95" customHeight="1" x14ac:dyDescent="0.25">
      <c r="A12" s="6">
        <v>2</v>
      </c>
      <c r="B12" s="87" t="s">
        <v>7</v>
      </c>
      <c r="C12" s="7">
        <v>22</v>
      </c>
      <c r="D12" s="149">
        <v>885622.81</v>
      </c>
      <c r="E12" s="8">
        <v>83605292.258623809</v>
      </c>
      <c r="F12" s="8">
        <v>0</v>
      </c>
      <c r="G12" s="8">
        <v>9334308.1658748891</v>
      </c>
      <c r="H12" s="8">
        <v>44331500.126070581</v>
      </c>
      <c r="I12" s="8">
        <v>1367384.1039360003</v>
      </c>
      <c r="J12" s="8">
        <v>0</v>
      </c>
      <c r="K12" s="8">
        <v>0</v>
      </c>
      <c r="L12" s="56">
        <f>E12+F12-G12-H12-I12-K12-J12</f>
        <v>28572099.862742342</v>
      </c>
      <c r="M12" s="161">
        <v>98.4</v>
      </c>
      <c r="N12" s="60">
        <f t="shared" ref="N12:N67" si="11">L12*M12/100</f>
        <v>28114946.264938463</v>
      </c>
      <c r="O12" s="103">
        <f t="shared" ref="O12:O67" si="12">(E12+F12)*M12/100</f>
        <v>82267607.582485825</v>
      </c>
      <c r="P12" s="163">
        <f t="shared" si="5"/>
        <v>28114946.264938466</v>
      </c>
      <c r="Q12" s="71">
        <f t="shared" si="6"/>
        <v>457153.5978038747</v>
      </c>
      <c r="R12" s="96"/>
      <c r="S12" s="109">
        <f t="shared" si="9"/>
        <v>0</v>
      </c>
      <c r="T12" s="137"/>
      <c r="U12" s="234"/>
      <c r="V12" s="97">
        <f t="shared" si="7"/>
        <v>0</v>
      </c>
      <c r="W12" s="232">
        <f>T12</f>
        <v>0</v>
      </c>
      <c r="X12" s="97"/>
      <c r="Y12" s="96" t="e">
        <f>#REF!</f>
        <v>#REF!</v>
      </c>
      <c r="Z12" s="95">
        <f t="shared" si="10"/>
        <v>0</v>
      </c>
      <c r="AA12" s="97"/>
    </row>
    <row r="13" spans="1:27" ht="21.95" customHeight="1" x14ac:dyDescent="0.25">
      <c r="A13" s="6"/>
      <c r="B13" s="87" t="s">
        <v>36</v>
      </c>
      <c r="C13" s="7">
        <v>8</v>
      </c>
      <c r="D13" s="8">
        <v>522701.76</v>
      </c>
      <c r="E13" s="8">
        <v>71029571.662503719</v>
      </c>
      <c r="F13" s="8">
        <v>0</v>
      </c>
      <c r="G13" s="8">
        <v>15795965.522961315</v>
      </c>
      <c r="H13" s="8">
        <v>0</v>
      </c>
      <c r="I13" s="8">
        <v>17211266.933760002</v>
      </c>
      <c r="J13" s="8">
        <v>0</v>
      </c>
      <c r="K13" s="8">
        <v>0</v>
      </c>
      <c r="L13" s="56">
        <f>E13+F13-G13-H13-I13-K13-J13</f>
        <v>38022339.205782399</v>
      </c>
      <c r="M13" s="161">
        <v>99</v>
      </c>
      <c r="N13" s="60">
        <f t="shared" si="11"/>
        <v>37642115.813724577</v>
      </c>
      <c r="O13" s="103">
        <f t="shared" si="12"/>
        <v>70319275.945878685</v>
      </c>
      <c r="P13" s="163">
        <f t="shared" si="5"/>
        <v>37642115.813724577</v>
      </c>
      <c r="Q13" s="71">
        <f t="shared" si="6"/>
        <v>380223.3920578243</v>
      </c>
      <c r="R13" s="96"/>
      <c r="S13" s="109">
        <f t="shared" si="9"/>
        <v>0</v>
      </c>
      <c r="T13" s="137"/>
      <c r="U13" s="234"/>
      <c r="V13" s="97">
        <f t="shared" si="7"/>
        <v>0</v>
      </c>
      <c r="W13" s="232">
        <f>T13</f>
        <v>0</v>
      </c>
      <c r="X13" s="97"/>
      <c r="Y13" s="96" t="e">
        <f>#REF!</f>
        <v>#REF!</v>
      </c>
      <c r="Z13" s="95">
        <f t="shared" si="10"/>
        <v>0</v>
      </c>
      <c r="AA13" s="97"/>
    </row>
    <row r="14" spans="1:27" ht="21.95" customHeight="1" x14ac:dyDescent="0.25">
      <c r="A14" s="9" t="e">
        <f>[1]Трансп!A6</f>
        <v>#REF!</v>
      </c>
      <c r="B14" s="196" t="s">
        <v>78</v>
      </c>
      <c r="C14" s="89">
        <f>C15+C16</f>
        <v>29</v>
      </c>
      <c r="D14" s="89">
        <f t="shared" ref="D14:L14" si="13">D15+D16</f>
        <v>726760</v>
      </c>
      <c r="E14" s="89">
        <f t="shared" si="13"/>
        <v>117910263.58254361</v>
      </c>
      <c r="F14" s="89">
        <f t="shared" si="13"/>
        <v>5909876.3499999996</v>
      </c>
      <c r="G14" s="89">
        <f t="shared" si="13"/>
        <v>19166011.483983971</v>
      </c>
      <c r="H14" s="89">
        <f t="shared" si="13"/>
        <v>20453143.102382079</v>
      </c>
      <c r="I14" s="89">
        <f t="shared" si="13"/>
        <v>7166994.0480000004</v>
      </c>
      <c r="J14" s="89">
        <f t="shared" si="13"/>
        <v>0</v>
      </c>
      <c r="K14" s="89">
        <f t="shared" si="13"/>
        <v>0</v>
      </c>
      <c r="L14" s="103">
        <f t="shared" si="13"/>
        <v>77033991.298177555</v>
      </c>
      <c r="M14" s="161"/>
      <c r="N14" s="60">
        <f t="shared" si="11"/>
        <v>0</v>
      </c>
      <c r="O14" s="103">
        <f t="shared" si="12"/>
        <v>0</v>
      </c>
      <c r="P14" s="106">
        <f>P15+P16</f>
        <v>76083094.636892527</v>
      </c>
      <c r="Q14" s="71">
        <f>Q15+Q16</f>
        <v>950896.66128503252</v>
      </c>
      <c r="R14" s="96">
        <v>30813912.639791407</v>
      </c>
      <c r="S14" s="109">
        <f t="shared" si="9"/>
        <v>32416236.097060561</v>
      </c>
      <c r="T14" s="137">
        <f>P14*$AD$25</f>
        <v>11778419.168378079</v>
      </c>
      <c r="U14" s="234">
        <v>19952661.620497495</v>
      </c>
      <c r="V14" s="97">
        <f t="shared" si="7"/>
        <v>8174242.4521194156</v>
      </c>
      <c r="W14" s="232">
        <f>T14</f>
        <v>11778419.168378079</v>
      </c>
      <c r="X14" s="97"/>
      <c r="Y14" s="96" t="e">
        <f>#REF!</f>
        <v>#REF!</v>
      </c>
      <c r="Z14" s="95">
        <f t="shared" si="10"/>
        <v>11778419.168378079</v>
      </c>
      <c r="AA14" s="97"/>
    </row>
    <row r="15" spans="1:27" ht="21.95" customHeight="1" x14ac:dyDescent="0.25">
      <c r="A15" s="9"/>
      <c r="B15" s="87" t="s">
        <v>73</v>
      </c>
      <c r="C15" s="7">
        <v>26</v>
      </c>
      <c r="D15" s="149">
        <v>507728</v>
      </c>
      <c r="E15" s="8">
        <v>73944890.957478836</v>
      </c>
      <c r="F15" s="8">
        <v>4750189.8099999996</v>
      </c>
      <c r="G15" s="8">
        <f>'[2]Расчет НМЦК'!$F$33+'[2]Расчет НМЦК'!$J$33</f>
        <v>9235198.4971227497</v>
      </c>
      <c r="H15" s="8">
        <v>20453143.102382079</v>
      </c>
      <c r="I15" s="8">
        <v>3867552.0921600005</v>
      </c>
      <c r="J15" s="8">
        <v>0</v>
      </c>
      <c r="K15" s="8">
        <v>0</v>
      </c>
      <c r="L15" s="35">
        <f>E15+F15-G15-H15-I15-K15-J15</f>
        <v>45139187.075814009</v>
      </c>
      <c r="M15" s="161">
        <v>98.6</v>
      </c>
      <c r="N15" s="60"/>
      <c r="O15" s="103"/>
      <c r="P15" s="163">
        <f t="shared" si="5"/>
        <v>44507238.456752613</v>
      </c>
      <c r="Q15" s="71">
        <f t="shared" si="6"/>
        <v>631948.61906139669</v>
      </c>
      <c r="R15" s="96"/>
      <c r="S15" s="109"/>
      <c r="T15" s="137"/>
      <c r="U15" s="234"/>
      <c r="V15" s="97">
        <f t="shared" si="7"/>
        <v>0</v>
      </c>
      <c r="W15" s="232"/>
      <c r="X15" s="97"/>
      <c r="Y15" s="96"/>
      <c r="Z15" s="95"/>
      <c r="AA15" s="97"/>
    </row>
    <row r="16" spans="1:27" ht="21.95" customHeight="1" x14ac:dyDescent="0.25">
      <c r="A16" s="9"/>
      <c r="B16" s="87" t="s">
        <v>74</v>
      </c>
      <c r="C16" s="7">
        <v>3</v>
      </c>
      <c r="D16" s="8">
        <v>219032</v>
      </c>
      <c r="E16" s="8">
        <v>43965372.625064768</v>
      </c>
      <c r="F16" s="8">
        <v>1159686.54</v>
      </c>
      <c r="G16" s="8">
        <v>9930812.9868612234</v>
      </c>
      <c r="H16" s="8">
        <v>0</v>
      </c>
      <c r="I16" s="8">
        <v>3299441.95584</v>
      </c>
      <c r="J16" s="8">
        <v>0</v>
      </c>
      <c r="K16" s="8">
        <v>0</v>
      </c>
      <c r="L16" s="35">
        <f t="shared" ref="L16" si="14">E16+F16-G16-H16-I16-K16-J16</f>
        <v>31894804.222363546</v>
      </c>
      <c r="M16" s="161">
        <v>99</v>
      </c>
      <c r="N16" s="60"/>
      <c r="O16" s="103"/>
      <c r="P16" s="163">
        <f t="shared" si="5"/>
        <v>31575856.18013991</v>
      </c>
      <c r="Q16" s="71">
        <f t="shared" si="6"/>
        <v>318948.04222363577</v>
      </c>
      <c r="R16" s="96"/>
      <c r="S16" s="109"/>
      <c r="T16" s="137"/>
      <c r="U16" s="234"/>
      <c r="V16" s="97">
        <f t="shared" si="7"/>
        <v>0</v>
      </c>
      <c r="W16" s="232"/>
      <c r="X16" s="97"/>
      <c r="Y16" s="96"/>
      <c r="Z16" s="95"/>
      <c r="AA16" s="97"/>
    </row>
    <row r="17" spans="1:30" ht="21.95" customHeight="1" x14ac:dyDescent="0.25">
      <c r="A17" s="9">
        <v>4</v>
      </c>
      <c r="B17" s="196" t="s">
        <v>88</v>
      </c>
      <c r="C17" s="89">
        <v>15</v>
      </c>
      <c r="D17" s="152">
        <v>391021</v>
      </c>
      <c r="E17" s="90">
        <v>49438901.99316857</v>
      </c>
      <c r="F17" s="90">
        <v>0</v>
      </c>
      <c r="G17" s="90">
        <v>2922940.273626104</v>
      </c>
      <c r="H17" s="90">
        <v>23488598.071603205</v>
      </c>
      <c r="I17" s="90">
        <v>312024.29644799995</v>
      </c>
      <c r="J17" s="90">
        <v>0</v>
      </c>
      <c r="K17" s="90">
        <v>0</v>
      </c>
      <c r="L17" s="153">
        <f>E17+F17-G17-H17-I17-K17-J17</f>
        <v>22715339.351491261</v>
      </c>
      <c r="M17" s="161">
        <v>98.7</v>
      </c>
      <c r="N17" s="60">
        <f t="shared" si="11"/>
        <v>22420039.939921875</v>
      </c>
      <c r="O17" s="103">
        <f t="shared" si="12"/>
        <v>48796196.267257378</v>
      </c>
      <c r="P17" s="106">
        <f t="shared" si="5"/>
        <v>22420039.939921875</v>
      </c>
      <c r="Q17" s="71">
        <f>L17*(1-M17/100)</f>
        <v>295299.41156938666</v>
      </c>
      <c r="R17" s="96">
        <v>5123949.5533594312</v>
      </c>
      <c r="S17" s="109">
        <f t="shared" si="9"/>
        <v>5390394.9301341223</v>
      </c>
      <c r="T17" s="137">
        <f>P17*$AD$25</f>
        <v>3470844.9944691085</v>
      </c>
      <c r="U17" s="234">
        <v>5879617.1813756144</v>
      </c>
      <c r="V17" s="97">
        <f t="shared" si="7"/>
        <v>2408772.1869065058</v>
      </c>
      <c r="W17" s="232">
        <f t="shared" ref="W17:W31" si="15">T17</f>
        <v>3470844.9944691085</v>
      </c>
      <c r="X17" s="97"/>
      <c r="Y17" s="96" t="e">
        <f>#REF!</f>
        <v>#REF!</v>
      </c>
      <c r="Z17" s="95">
        <f t="shared" si="10"/>
        <v>3470844.9944691085</v>
      </c>
      <c r="AA17" s="97"/>
    </row>
    <row r="18" spans="1:30" ht="21.95" customHeight="1" x14ac:dyDescent="0.25">
      <c r="A18" s="9"/>
      <c r="B18" s="196" t="s">
        <v>89</v>
      </c>
      <c r="C18" s="89">
        <f t="shared" ref="C18:L18" si="16">C19+C20</f>
        <v>23</v>
      </c>
      <c r="D18" s="89">
        <f t="shared" si="16"/>
        <v>458936.55599999998</v>
      </c>
      <c r="E18" s="89">
        <f t="shared" si="16"/>
        <v>62453428.395025343</v>
      </c>
      <c r="F18" s="89">
        <f t="shared" si="16"/>
        <v>0</v>
      </c>
      <c r="G18" s="89">
        <f t="shared" si="16"/>
        <v>5276837.9599545961</v>
      </c>
      <c r="H18" s="89">
        <f t="shared" si="16"/>
        <v>22528368.96391381</v>
      </c>
      <c r="I18" s="89">
        <f t="shared" si="16"/>
        <v>1382461.6089600006</v>
      </c>
      <c r="J18" s="89">
        <f t="shared" si="16"/>
        <v>0</v>
      </c>
      <c r="K18" s="89">
        <f t="shared" si="16"/>
        <v>0</v>
      </c>
      <c r="L18" s="103">
        <f t="shared" si="16"/>
        <v>33265759.862196933</v>
      </c>
      <c r="M18" s="161">
        <v>98.7</v>
      </c>
      <c r="N18" s="60"/>
      <c r="O18" s="103"/>
      <c r="P18" s="106">
        <f>P19+P20</f>
        <v>32833304.983988371</v>
      </c>
      <c r="Q18" s="71">
        <f>Q19+Q20</f>
        <v>432454.87820856046</v>
      </c>
      <c r="R18" s="96">
        <v>10471096.638396891</v>
      </c>
      <c r="S18" s="109">
        <f t="shared" si="9"/>
        <v>11015593.663593529</v>
      </c>
      <c r="T18" s="137">
        <f>P18*$AD$25</f>
        <v>5082921.9109745612</v>
      </c>
      <c r="U18" s="234">
        <v>8610478.1535851397</v>
      </c>
      <c r="V18" s="97">
        <f t="shared" si="7"/>
        <v>3527556.2426105784</v>
      </c>
      <c r="W18" s="232">
        <f t="shared" si="15"/>
        <v>5082921.9109745612</v>
      </c>
      <c r="X18" s="97"/>
      <c r="Y18" s="96" t="e">
        <f>#REF!</f>
        <v>#REF!</v>
      </c>
      <c r="Z18" s="95">
        <f t="shared" si="10"/>
        <v>5082921.9109745612</v>
      </c>
      <c r="AA18" s="97"/>
    </row>
    <row r="19" spans="1:30" ht="21.95" customHeight="1" x14ac:dyDescent="0.25">
      <c r="A19" s="6">
        <v>5</v>
      </c>
      <c r="B19" s="87" t="s">
        <v>90</v>
      </c>
      <c r="C19" s="7">
        <v>20</v>
      </c>
      <c r="D19" s="8">
        <v>432567.82399999996</v>
      </c>
      <c r="E19" s="8">
        <v>57993910.963317595</v>
      </c>
      <c r="F19" s="8">
        <v>0</v>
      </c>
      <c r="G19" s="8">
        <v>5177612.3893750943</v>
      </c>
      <c r="H19" s="8">
        <v>22528368.96391381</v>
      </c>
      <c r="I19" s="8">
        <v>1382461.6089600006</v>
      </c>
      <c r="J19" s="8">
        <v>0</v>
      </c>
      <c r="K19" s="8">
        <v>0</v>
      </c>
      <c r="L19" s="35">
        <f t="shared" ref="L19:L48" si="17">E19+F19-G19-H19-I19-K19</f>
        <v>28905468.001068689</v>
      </c>
      <c r="M19" s="161">
        <v>98.7</v>
      </c>
      <c r="N19" s="60">
        <f t="shared" si="11"/>
        <v>28529696.917054795</v>
      </c>
      <c r="O19" s="103">
        <f t="shared" si="12"/>
        <v>57239990.120794468</v>
      </c>
      <c r="P19" s="163">
        <f t="shared" si="5"/>
        <v>28529696.917054795</v>
      </c>
      <c r="Q19" s="71">
        <f t="shared" si="6"/>
        <v>375771.08401389327</v>
      </c>
      <c r="R19" s="96"/>
      <c r="S19" s="109">
        <f t="shared" si="9"/>
        <v>0</v>
      </c>
      <c r="T19" s="137"/>
      <c r="U19" s="234"/>
      <c r="V19" s="97">
        <f t="shared" si="7"/>
        <v>0</v>
      </c>
      <c r="W19" s="232">
        <f t="shared" si="15"/>
        <v>0</v>
      </c>
      <c r="X19" s="97"/>
      <c r="Y19" s="96" t="e">
        <f>#REF!</f>
        <v>#REF!</v>
      </c>
      <c r="Z19" s="95">
        <f t="shared" si="10"/>
        <v>0</v>
      </c>
      <c r="AA19" s="97"/>
    </row>
    <row r="20" spans="1:30" ht="21.95" customHeight="1" x14ac:dyDescent="0.25">
      <c r="A20" s="6"/>
      <c r="B20" s="87" t="s">
        <v>37</v>
      </c>
      <c r="C20" s="7">
        <v>3</v>
      </c>
      <c r="D20" s="8">
        <v>26368.732000000004</v>
      </c>
      <c r="E20" s="8">
        <v>4459517.4317077454</v>
      </c>
      <c r="F20" s="8">
        <v>0</v>
      </c>
      <c r="G20" s="8">
        <v>99225.570579501771</v>
      </c>
      <c r="H20" s="8">
        <v>0</v>
      </c>
      <c r="I20" s="8">
        <v>0</v>
      </c>
      <c r="J20" s="8">
        <v>0</v>
      </c>
      <c r="K20" s="8">
        <v>0</v>
      </c>
      <c r="L20" s="35">
        <f t="shared" si="17"/>
        <v>4360291.8611282436</v>
      </c>
      <c r="M20" s="161">
        <v>98.7</v>
      </c>
      <c r="N20" s="60">
        <f t="shared" si="11"/>
        <v>4303608.066933576</v>
      </c>
      <c r="O20" s="103">
        <f t="shared" si="12"/>
        <v>4401543.7050955454</v>
      </c>
      <c r="P20" s="163">
        <f t="shared" si="5"/>
        <v>4303608.066933576</v>
      </c>
      <c r="Q20" s="71">
        <f t="shared" si="6"/>
        <v>56683.794194667214</v>
      </c>
      <c r="R20" s="96"/>
      <c r="S20" s="109">
        <f t="shared" si="9"/>
        <v>0</v>
      </c>
      <c r="T20" s="137"/>
      <c r="U20" s="234"/>
      <c r="V20" s="97">
        <f t="shared" si="7"/>
        <v>0</v>
      </c>
      <c r="W20" s="232">
        <f t="shared" si="15"/>
        <v>0</v>
      </c>
      <c r="X20" s="97"/>
      <c r="Y20" s="96" t="e">
        <f>#REF!</f>
        <v>#REF!</v>
      </c>
      <c r="Z20" s="95">
        <f t="shared" si="10"/>
        <v>0</v>
      </c>
      <c r="AA20" s="97"/>
    </row>
    <row r="21" spans="1:30" ht="18.75" x14ac:dyDescent="0.25">
      <c r="A21" s="6">
        <v>6</v>
      </c>
      <c r="B21" s="196" t="s">
        <v>8</v>
      </c>
      <c r="C21" s="89">
        <v>16</v>
      </c>
      <c r="D21" s="90">
        <v>398952</v>
      </c>
      <c r="E21" s="90">
        <v>53482534.590567216</v>
      </c>
      <c r="F21" s="89">
        <v>0</v>
      </c>
      <c r="G21" s="90">
        <v>6045550.0245467387</v>
      </c>
      <c r="H21" s="90">
        <v>20661534.511546366</v>
      </c>
      <c r="I21" s="90">
        <v>1551935.480832</v>
      </c>
      <c r="J21" s="90">
        <v>0</v>
      </c>
      <c r="K21" s="90">
        <v>0</v>
      </c>
      <c r="L21" s="153">
        <f>E21+F21-G21-H21-I21-K21</f>
        <v>25223514.573642109</v>
      </c>
      <c r="M21" s="161">
        <v>98.8</v>
      </c>
      <c r="N21" s="60">
        <f t="shared" si="11"/>
        <v>24920832.3987584</v>
      </c>
      <c r="O21" s="103">
        <f>(E21+G21)*M21/100</f>
        <v>58813747.599732593</v>
      </c>
      <c r="P21" s="106">
        <f>L21*(M21/100)</f>
        <v>24920832.398758404</v>
      </c>
      <c r="Q21" s="71">
        <f t="shared" si="6"/>
        <v>302682.17488370556</v>
      </c>
      <c r="R21" s="96">
        <v>7208482.0045049852</v>
      </c>
      <c r="S21" s="109">
        <f t="shared" si="9"/>
        <v>7583323.0687392447</v>
      </c>
      <c r="T21" s="137">
        <f>P21*$AD$25</f>
        <v>3857992.5201299889</v>
      </c>
      <c r="U21" s="234">
        <v>6535445.732414362</v>
      </c>
      <c r="V21" s="97">
        <f t="shared" si="7"/>
        <v>2677453.2122843731</v>
      </c>
      <c r="W21" s="232">
        <f t="shared" si="15"/>
        <v>3857992.5201299889</v>
      </c>
      <c r="X21" s="97"/>
      <c r="Y21" s="96" t="e">
        <f>#REF!</f>
        <v>#REF!</v>
      </c>
      <c r="Z21" s="95">
        <f t="shared" si="10"/>
        <v>3857992.5201299889</v>
      </c>
      <c r="AA21" s="97"/>
      <c r="AC21" t="s">
        <v>103</v>
      </c>
      <c r="AD21" s="119">
        <f>P7+P69+P70+P71</f>
        <v>2149819668.7449455</v>
      </c>
    </row>
    <row r="22" spans="1:30" ht="21.95" customHeight="1" x14ac:dyDescent="0.25">
      <c r="A22" s="9">
        <v>7</v>
      </c>
      <c r="B22" s="196" t="s">
        <v>9</v>
      </c>
      <c r="C22" s="89">
        <v>0</v>
      </c>
      <c r="D22" s="90">
        <v>0</v>
      </c>
      <c r="E22" s="90">
        <v>0</v>
      </c>
      <c r="F22" s="90">
        <v>0</v>
      </c>
      <c r="G22" s="90">
        <v>0</v>
      </c>
      <c r="H22" s="90">
        <v>0</v>
      </c>
      <c r="I22" s="90">
        <v>0</v>
      </c>
      <c r="J22" s="90">
        <v>0</v>
      </c>
      <c r="K22" s="90">
        <v>0</v>
      </c>
      <c r="L22" s="153">
        <f t="shared" si="17"/>
        <v>0</v>
      </c>
      <c r="M22" s="161">
        <v>97.4</v>
      </c>
      <c r="N22" s="60">
        <f t="shared" si="11"/>
        <v>0</v>
      </c>
      <c r="O22" s="103">
        <f t="shared" si="12"/>
        <v>0</v>
      </c>
      <c r="P22" s="106">
        <f t="shared" si="5"/>
        <v>0</v>
      </c>
      <c r="Q22" s="71">
        <f t="shared" si="6"/>
        <v>0</v>
      </c>
      <c r="R22" s="96"/>
      <c r="S22" s="109">
        <f t="shared" si="9"/>
        <v>0</v>
      </c>
      <c r="T22" s="137">
        <f>P22*$AD$25</f>
        <v>0</v>
      </c>
      <c r="U22" s="234">
        <v>0</v>
      </c>
      <c r="V22" s="97">
        <f t="shared" si="7"/>
        <v>0</v>
      </c>
      <c r="W22" s="232">
        <f t="shared" si="15"/>
        <v>0</v>
      </c>
      <c r="X22" s="97"/>
      <c r="Y22" s="96" t="e">
        <f>#REF!</f>
        <v>#REF!</v>
      </c>
      <c r="Z22" s="95">
        <f t="shared" si="10"/>
        <v>0</v>
      </c>
      <c r="AA22" s="97"/>
    </row>
    <row r="23" spans="1:30" ht="21.95" customHeight="1" x14ac:dyDescent="0.25">
      <c r="A23" s="10">
        <v>8</v>
      </c>
      <c r="B23" s="196" t="s">
        <v>55</v>
      </c>
      <c r="C23" s="89">
        <v>29</v>
      </c>
      <c r="D23" s="90">
        <v>1104153.7999999998</v>
      </c>
      <c r="E23" s="90">
        <v>189244938.95946166</v>
      </c>
      <c r="F23" s="90">
        <v>2521980</v>
      </c>
      <c r="G23" s="90">
        <v>19525229.691433109</v>
      </c>
      <c r="H23" s="90">
        <v>29719735.863478258</v>
      </c>
      <c r="I23" s="90">
        <v>10768083.727824003</v>
      </c>
      <c r="J23" s="90">
        <v>0</v>
      </c>
      <c r="K23" s="90">
        <v>0</v>
      </c>
      <c r="L23" s="153">
        <f>E23+F23-G23-H23-I23-K23</f>
        <v>131753869.67672631</v>
      </c>
      <c r="M23" s="161">
        <v>98.2</v>
      </c>
      <c r="N23" s="60">
        <f t="shared" si="11"/>
        <v>129382300.02254525</v>
      </c>
      <c r="O23" s="103">
        <f t="shared" si="12"/>
        <v>188315114.41819134</v>
      </c>
      <c r="P23" s="106">
        <f>L23*(M23/100)</f>
        <v>129382300.02254523</v>
      </c>
      <c r="Q23" s="71">
        <f t="shared" si="6"/>
        <v>2371569.6541810757</v>
      </c>
      <c r="R23" s="96">
        <v>34355377.504224792</v>
      </c>
      <c r="S23" s="109">
        <f t="shared" si="9"/>
        <v>36141857.134444483</v>
      </c>
      <c r="T23" s="137">
        <f>P23*$AD$25</f>
        <v>20029665.852937657</v>
      </c>
      <c r="U23" s="234">
        <v>33930287.199171789</v>
      </c>
      <c r="V23" s="97">
        <f t="shared" si="7"/>
        <v>13900621.346234132</v>
      </c>
      <c r="W23" s="232">
        <f t="shared" si="15"/>
        <v>20029665.852937657</v>
      </c>
      <c r="X23" s="97"/>
      <c r="Y23" s="96" t="e">
        <f>#REF!</f>
        <v>#REF!</v>
      </c>
      <c r="Z23" s="95">
        <f t="shared" si="10"/>
        <v>20029665.852937657</v>
      </c>
      <c r="AA23" s="97"/>
      <c r="AC23" t="s">
        <v>104</v>
      </c>
      <c r="AD23" s="202">
        <f>T95-T72</f>
        <v>332813449.76500666</v>
      </c>
    </row>
    <row r="24" spans="1:30" ht="21.95" customHeight="1" x14ac:dyDescent="0.25">
      <c r="A24" s="10"/>
      <c r="B24" s="196" t="s">
        <v>57</v>
      </c>
      <c r="C24" s="89">
        <f>C25+C26</f>
        <v>23</v>
      </c>
      <c r="D24" s="89">
        <f t="shared" ref="D24:L24" si="18">D25+D26</f>
        <v>442799.85</v>
      </c>
      <c r="E24" s="89">
        <f t="shared" si="18"/>
        <v>66726642.104184754</v>
      </c>
      <c r="F24" s="89">
        <f t="shared" si="18"/>
        <v>0</v>
      </c>
      <c r="G24" s="89">
        <f t="shared" si="18"/>
        <v>6938322.0277137887</v>
      </c>
      <c r="H24" s="89">
        <f t="shared" si="18"/>
        <v>15715895.305797625</v>
      </c>
      <c r="I24" s="89">
        <f t="shared" si="18"/>
        <v>2196358.9539840007</v>
      </c>
      <c r="J24" s="89">
        <f t="shared" si="18"/>
        <v>0</v>
      </c>
      <c r="K24" s="89">
        <f t="shared" si="18"/>
        <v>0</v>
      </c>
      <c r="L24" s="103">
        <f t="shared" si="18"/>
        <v>41876065.816689342</v>
      </c>
      <c r="M24" s="161"/>
      <c r="N24" s="60"/>
      <c r="O24" s="103"/>
      <c r="P24" s="106">
        <f>P25+P26</f>
        <v>41414865.398100317</v>
      </c>
      <c r="Q24" s="71">
        <f>Q25+Q26</f>
        <v>461200.41858902795</v>
      </c>
      <c r="R24" s="96">
        <v>12048848.411241608</v>
      </c>
      <c r="S24" s="109">
        <f t="shared" si="9"/>
        <v>12675388.528626172</v>
      </c>
      <c r="T24" s="137">
        <f>P24*$AD$25</f>
        <v>6411432.7471670536</v>
      </c>
      <c r="U24" s="234">
        <v>10860977.715094898</v>
      </c>
      <c r="V24" s="97">
        <f t="shared" si="7"/>
        <v>4449544.9679278443</v>
      </c>
      <c r="W24" s="232">
        <f t="shared" si="15"/>
        <v>6411432.7471670536</v>
      </c>
      <c r="X24" s="97"/>
      <c r="Y24" s="96" t="e">
        <f>#REF!</f>
        <v>#REF!</v>
      </c>
      <c r="Z24" s="95">
        <f t="shared" si="10"/>
        <v>6411432.7471670536</v>
      </c>
      <c r="AA24" s="97"/>
    </row>
    <row r="25" spans="1:30" ht="21.95" customHeight="1" x14ac:dyDescent="0.25">
      <c r="A25" s="6">
        <v>9</v>
      </c>
      <c r="B25" s="87" t="s">
        <v>52</v>
      </c>
      <c r="C25" s="7">
        <v>18</v>
      </c>
      <c r="D25" s="8">
        <v>339972.8</v>
      </c>
      <c r="E25" s="8">
        <v>42549766.479234472</v>
      </c>
      <c r="F25" s="8">
        <v>0</v>
      </c>
      <c r="G25" s="8">
        <v>4201774.6311057881</v>
      </c>
      <c r="H25" s="8">
        <v>15715895.305797625</v>
      </c>
      <c r="I25" s="8">
        <v>1412216.3312640004</v>
      </c>
      <c r="J25" s="8">
        <v>0</v>
      </c>
      <c r="K25" s="8">
        <v>0</v>
      </c>
      <c r="L25" s="35">
        <f>E25+F25-G25-H25-I25-K25-J25</f>
        <v>21219880.211067058</v>
      </c>
      <c r="M25" s="161">
        <v>98.8</v>
      </c>
      <c r="N25" s="60">
        <f t="shared" si="11"/>
        <v>20965241.648534253</v>
      </c>
      <c r="O25" s="103">
        <f t="shared" si="12"/>
        <v>42039169.281483658</v>
      </c>
      <c r="P25" s="163">
        <f t="shared" si="5"/>
        <v>20965241.648534253</v>
      </c>
      <c r="Q25" s="71">
        <f t="shared" si="6"/>
        <v>254638.56253280494</v>
      </c>
      <c r="R25" s="96"/>
      <c r="S25" s="109">
        <f t="shared" si="9"/>
        <v>0</v>
      </c>
      <c r="T25" s="137"/>
      <c r="U25" s="234"/>
      <c r="V25" s="97">
        <f t="shared" si="7"/>
        <v>0</v>
      </c>
      <c r="W25" s="232">
        <f t="shared" si="15"/>
        <v>0</v>
      </c>
      <c r="X25" s="97"/>
      <c r="Y25" s="96" t="e">
        <f>#REF!</f>
        <v>#REF!</v>
      </c>
      <c r="Z25" s="95">
        <f t="shared" si="10"/>
        <v>0</v>
      </c>
      <c r="AA25" s="97"/>
      <c r="AC25" s="203" t="s">
        <v>105</v>
      </c>
      <c r="AD25" s="203">
        <f>AD23/AD21</f>
        <v>0.15480993806299184</v>
      </c>
    </row>
    <row r="26" spans="1:30" ht="21.95" customHeight="1" x14ac:dyDescent="0.25">
      <c r="A26" s="6"/>
      <c r="B26" s="87" t="s">
        <v>51</v>
      </c>
      <c r="C26" s="7">
        <v>5</v>
      </c>
      <c r="D26" s="8">
        <v>102827.04999999999</v>
      </c>
      <c r="E26" s="8">
        <v>24176875.624950282</v>
      </c>
      <c r="F26" s="8">
        <v>0</v>
      </c>
      <c r="G26" s="8">
        <v>2736547.3966080002</v>
      </c>
      <c r="H26" s="8">
        <v>0</v>
      </c>
      <c r="I26" s="8">
        <v>784142.62272000022</v>
      </c>
      <c r="J26" s="8">
        <v>0</v>
      </c>
      <c r="K26" s="8">
        <v>0</v>
      </c>
      <c r="L26" s="35">
        <f>E26+F26-G26-H26-I26-K26-J26</f>
        <v>20656185.605622284</v>
      </c>
      <c r="M26" s="161">
        <v>99</v>
      </c>
      <c r="N26" s="60">
        <f t="shared" si="11"/>
        <v>20449623.749566063</v>
      </c>
      <c r="O26" s="103">
        <f t="shared" si="12"/>
        <v>23935106.86870078</v>
      </c>
      <c r="P26" s="163">
        <f t="shared" si="5"/>
        <v>20449623.74956606</v>
      </c>
      <c r="Q26" s="71">
        <f t="shared" si="6"/>
        <v>206561.85605622301</v>
      </c>
      <c r="R26" s="96"/>
      <c r="S26" s="109">
        <f t="shared" si="9"/>
        <v>0</v>
      </c>
      <c r="T26" s="137"/>
      <c r="U26" s="234"/>
      <c r="V26" s="97">
        <f t="shared" si="7"/>
        <v>0</v>
      </c>
      <c r="W26" s="232">
        <f t="shared" si="15"/>
        <v>0</v>
      </c>
      <c r="X26" s="97"/>
      <c r="Y26" s="96" t="e">
        <f>#REF!</f>
        <v>#REF!</v>
      </c>
      <c r="Z26" s="95">
        <f t="shared" si="10"/>
        <v>0</v>
      </c>
      <c r="AA26" s="97"/>
      <c r="AC26" s="119"/>
    </row>
    <row r="27" spans="1:30" s="11" customFormat="1" ht="21.95" customHeight="1" x14ac:dyDescent="0.25">
      <c r="A27" s="6">
        <v>10</v>
      </c>
      <c r="B27" s="196" t="s">
        <v>10</v>
      </c>
      <c r="C27" s="89">
        <v>12</v>
      </c>
      <c r="D27" s="154">
        <v>768013</v>
      </c>
      <c r="E27" s="154">
        <v>103632369.43724361</v>
      </c>
      <c r="F27" s="154">
        <v>324960</v>
      </c>
      <c r="G27" s="154">
        <v>7739167.2289280016</v>
      </c>
      <c r="H27" s="154">
        <v>39635197.841920018</v>
      </c>
      <c r="I27" s="154">
        <v>1940925.0447360002</v>
      </c>
      <c r="J27" s="154">
        <v>0</v>
      </c>
      <c r="K27" s="154">
        <v>0</v>
      </c>
      <c r="L27" s="153">
        <f>E27+F27-G27-H27-I27-K27-J27</f>
        <v>54642039.321659595</v>
      </c>
      <c r="M27" s="161">
        <v>98.3</v>
      </c>
      <c r="N27" s="60">
        <f t="shared" si="11"/>
        <v>53713124.653191373</v>
      </c>
      <c r="O27" s="103">
        <f t="shared" si="12"/>
        <v>102190054.83681047</v>
      </c>
      <c r="P27" s="106">
        <f t="shared" si="5"/>
        <v>53713124.65319138</v>
      </c>
      <c r="Q27" s="71">
        <f t="shared" si="6"/>
        <v>928914.66846821399</v>
      </c>
      <c r="R27" s="96">
        <v>11665368.032224681</v>
      </c>
      <c r="S27" s="109">
        <f t="shared" si="9"/>
        <v>12271967.169900365</v>
      </c>
      <c r="T27" s="137">
        <f>P27*$AD$25</f>
        <v>8315325.500730318</v>
      </c>
      <c r="U27" s="234">
        <v>14086175.19962253</v>
      </c>
      <c r="V27" s="97">
        <f t="shared" si="7"/>
        <v>5770849.6988922125</v>
      </c>
      <c r="W27" s="232">
        <f t="shared" si="15"/>
        <v>8315325.500730318</v>
      </c>
      <c r="X27" s="97"/>
      <c r="Y27" s="96" t="e">
        <f>#REF!</f>
        <v>#REF!</v>
      </c>
      <c r="Z27" s="95">
        <f t="shared" si="10"/>
        <v>8315325.500730318</v>
      </c>
      <c r="AA27" s="97"/>
    </row>
    <row r="28" spans="1:30" ht="21.95" customHeight="1" x14ac:dyDescent="0.25">
      <c r="A28" s="4">
        <v>11</v>
      </c>
      <c r="B28" s="196" t="s">
        <v>11</v>
      </c>
      <c r="C28" s="89">
        <v>17</v>
      </c>
      <c r="D28" s="90">
        <v>770905.60999999987</v>
      </c>
      <c r="E28" s="90">
        <v>72363405.596613556</v>
      </c>
      <c r="F28" s="90">
        <v>0</v>
      </c>
      <c r="G28" s="90">
        <v>5747212.2496126704</v>
      </c>
      <c r="H28" s="90">
        <v>42249796.468953907</v>
      </c>
      <c r="I28" s="90">
        <v>131079.02054400003</v>
      </c>
      <c r="J28" s="90">
        <v>0</v>
      </c>
      <c r="K28" s="90">
        <v>0</v>
      </c>
      <c r="L28" s="153">
        <f>E28+F28-G28-H28-I28-K28-J28</f>
        <v>24235317.857502975</v>
      </c>
      <c r="M28" s="161">
        <v>98.1</v>
      </c>
      <c r="N28" s="60">
        <f t="shared" si="11"/>
        <v>23774846.818210416</v>
      </c>
      <c r="O28" s="103">
        <f t="shared" si="12"/>
        <v>70988500.890277892</v>
      </c>
      <c r="P28" s="106">
        <f t="shared" si="5"/>
        <v>23774846.818210419</v>
      </c>
      <c r="Q28" s="71">
        <f t="shared" si="6"/>
        <v>460471.03929255693</v>
      </c>
      <c r="R28" s="96">
        <v>5433071.9361874359</v>
      </c>
      <c r="S28" s="109">
        <f t="shared" si="9"/>
        <v>5715591.6768691828</v>
      </c>
      <c r="T28" s="137">
        <f>P28*$AD$25</f>
        <v>3680582.5633842736</v>
      </c>
      <c r="U28" s="234">
        <v>6234912.9712304352</v>
      </c>
      <c r="V28" s="97">
        <f t="shared" si="7"/>
        <v>2554330.4078461616</v>
      </c>
      <c r="W28" s="232">
        <f t="shared" si="15"/>
        <v>3680582.5633842736</v>
      </c>
      <c r="X28" s="97"/>
      <c r="Y28" s="96" t="e">
        <f>#REF!</f>
        <v>#REF!</v>
      </c>
      <c r="Z28" s="95">
        <f t="shared" si="10"/>
        <v>3680582.5633842736</v>
      </c>
      <c r="AA28" s="97"/>
      <c r="AC28" s="116"/>
    </row>
    <row r="29" spans="1:30" ht="18.75" customHeight="1" x14ac:dyDescent="0.25">
      <c r="A29" s="9">
        <v>12</v>
      </c>
      <c r="B29" s="196" t="s">
        <v>12</v>
      </c>
      <c r="C29" s="89">
        <v>11</v>
      </c>
      <c r="D29" s="154">
        <v>401479.1</v>
      </c>
      <c r="E29" s="154">
        <v>57816501.703904502</v>
      </c>
      <c r="F29" s="154">
        <v>0</v>
      </c>
      <c r="G29" s="154">
        <v>5583818.7869053688</v>
      </c>
      <c r="H29" s="154">
        <v>18678165.300656121</v>
      </c>
      <c r="I29" s="154">
        <v>1146289.4991360002</v>
      </c>
      <c r="J29" s="154">
        <v>0</v>
      </c>
      <c r="K29" s="154">
        <v>0</v>
      </c>
      <c r="L29" s="153">
        <f t="shared" si="17"/>
        <v>32408228.117207006</v>
      </c>
      <c r="M29" s="161">
        <v>98.7</v>
      </c>
      <c r="N29" s="60">
        <f t="shared" si="11"/>
        <v>31986921.151683316</v>
      </c>
      <c r="O29" s="103">
        <f t="shared" si="12"/>
        <v>57064887.181753747</v>
      </c>
      <c r="P29" s="106">
        <f t="shared" si="5"/>
        <v>31986921.151683316</v>
      </c>
      <c r="Q29" s="71">
        <f t="shared" si="6"/>
        <v>421306.96552369144</v>
      </c>
      <c r="R29" s="96">
        <v>8668584.6488649603</v>
      </c>
      <c r="S29" s="109">
        <f t="shared" si="9"/>
        <v>9119351.0506059378</v>
      </c>
      <c r="T29" s="137">
        <f>P29*$AD$25</f>
        <v>4951893.2823178982</v>
      </c>
      <c r="U29" s="234">
        <v>8388515.4391656099</v>
      </c>
      <c r="V29" s="97">
        <f t="shared" si="7"/>
        <v>3436622.1568477117</v>
      </c>
      <c r="W29" s="232">
        <f t="shared" si="15"/>
        <v>4951893.2823178982</v>
      </c>
      <c r="X29" s="97"/>
      <c r="Y29" s="96" t="e">
        <f>#REF!</f>
        <v>#REF!</v>
      </c>
      <c r="Z29" s="95">
        <f t="shared" si="10"/>
        <v>4951893.2823178982</v>
      </c>
      <c r="AA29" s="97"/>
    </row>
    <row r="30" spans="1:30" ht="21.75" customHeight="1" x14ac:dyDescent="0.25">
      <c r="A30" s="6">
        <v>13</v>
      </c>
      <c r="B30" s="196" t="s">
        <v>13</v>
      </c>
      <c r="C30" s="89">
        <v>32</v>
      </c>
      <c r="D30" s="90">
        <v>592105</v>
      </c>
      <c r="E30" s="90">
        <v>74605026.857548147</v>
      </c>
      <c r="F30" s="90">
        <v>443690</v>
      </c>
      <c r="G30" s="90">
        <v>6346623.2925484963</v>
      </c>
      <c r="H30" s="90">
        <v>30794007.013785604</v>
      </c>
      <c r="I30" s="90">
        <v>1383987.8522880005</v>
      </c>
      <c r="J30" s="90">
        <v>0</v>
      </c>
      <c r="K30" s="90">
        <v>0</v>
      </c>
      <c r="L30" s="153">
        <f>E30+F30-G30-H30-I30-K30</f>
        <v>36524098.698926054</v>
      </c>
      <c r="M30" s="161">
        <v>98.6</v>
      </c>
      <c r="N30" s="60">
        <f t="shared" si="11"/>
        <v>36012761.317141086</v>
      </c>
      <c r="O30" s="103">
        <f t="shared" si="12"/>
        <v>73998034.821542472</v>
      </c>
      <c r="P30" s="106">
        <f t="shared" si="5"/>
        <v>36012761.317141086</v>
      </c>
      <c r="Q30" s="71">
        <f t="shared" si="6"/>
        <v>511337.38178496523</v>
      </c>
      <c r="R30" s="96">
        <v>10623461.708426271</v>
      </c>
      <c r="S30" s="109">
        <f t="shared" si="9"/>
        <v>11175881.717264438</v>
      </c>
      <c r="T30" s="137">
        <f>P30*$AD$25</f>
        <v>5575133.3489839202</v>
      </c>
      <c r="U30" s="234">
        <v>9444285.1465223413</v>
      </c>
      <c r="V30" s="97">
        <f t="shared" si="7"/>
        <v>3869151.7975384211</v>
      </c>
      <c r="W30" s="232">
        <f t="shared" si="15"/>
        <v>5575133.3489839202</v>
      </c>
      <c r="X30" s="97"/>
      <c r="Y30" s="96" t="e">
        <f>#REF!</f>
        <v>#REF!</v>
      </c>
      <c r="Z30" s="95">
        <f t="shared" si="10"/>
        <v>5575133.3489839202</v>
      </c>
      <c r="AA30" s="97"/>
    </row>
    <row r="31" spans="1:30" ht="21.95" customHeight="1" x14ac:dyDescent="0.3">
      <c r="A31" s="9">
        <v>14</v>
      </c>
      <c r="B31" s="192" t="s">
        <v>77</v>
      </c>
      <c r="C31" s="89">
        <f>C32+C33</f>
        <v>65</v>
      </c>
      <c r="D31" s="89">
        <f t="shared" ref="D31:L31" si="19">D32+D33</f>
        <v>2015119</v>
      </c>
      <c r="E31" s="89">
        <f t="shared" si="19"/>
        <v>269913174.23530865</v>
      </c>
      <c r="F31" s="89">
        <f t="shared" si="19"/>
        <v>0</v>
      </c>
      <c r="G31" s="89">
        <f t="shared" si="19"/>
        <v>56840706.85148111</v>
      </c>
      <c r="H31" s="89">
        <f t="shared" si="19"/>
        <v>32854866.324574616</v>
      </c>
      <c r="I31" s="89">
        <f t="shared" si="19"/>
        <v>38778225.159167998</v>
      </c>
      <c r="J31" s="89">
        <f t="shared" si="19"/>
        <v>0</v>
      </c>
      <c r="K31" s="89">
        <f t="shared" si="19"/>
        <v>0</v>
      </c>
      <c r="L31" s="103">
        <f t="shared" si="19"/>
        <v>141439375.90008488</v>
      </c>
      <c r="M31" s="161"/>
      <c r="N31" s="60">
        <f t="shared" si="11"/>
        <v>0</v>
      </c>
      <c r="O31" s="103">
        <f t="shared" si="12"/>
        <v>0</v>
      </c>
      <c r="P31" s="106">
        <f>P32+P33</f>
        <v>139734977.94483969</v>
      </c>
      <c r="Q31" s="71">
        <f>Q32+Q33</f>
        <v>1704397.9552452024</v>
      </c>
      <c r="R31" s="96">
        <v>39735321.316157445</v>
      </c>
      <c r="S31" s="109">
        <f t="shared" si="9"/>
        <v>41801558.024597637</v>
      </c>
      <c r="T31" s="137">
        <f>P31*$AD$25</f>
        <v>21632363.280874163</v>
      </c>
      <c r="U31" s="234">
        <v>36645259.302177891</v>
      </c>
      <c r="V31" s="97">
        <f t="shared" si="7"/>
        <v>15012896.021303728</v>
      </c>
      <c r="W31" s="232">
        <f t="shared" si="15"/>
        <v>21632363.280874163</v>
      </c>
      <c r="X31" s="97"/>
      <c r="Y31" s="96" t="e">
        <f>#REF!</f>
        <v>#REF!</v>
      </c>
      <c r="Z31" s="95">
        <f t="shared" si="10"/>
        <v>21632363.280874163</v>
      </c>
      <c r="AA31" s="97"/>
    </row>
    <row r="32" spans="1:30" ht="21.95" customHeight="1" x14ac:dyDescent="0.3">
      <c r="A32" s="9"/>
      <c r="B32" s="146" t="s">
        <v>75</v>
      </c>
      <c r="C32" s="7">
        <v>39</v>
      </c>
      <c r="D32" s="8">
        <v>704412.4</v>
      </c>
      <c r="E32" s="8">
        <v>87766675.792829096</v>
      </c>
      <c r="F32" s="8">
        <v>0</v>
      </c>
      <c r="G32" s="8">
        <v>7297831.267916196</v>
      </c>
      <c r="H32" s="8">
        <v>32854866.324574616</v>
      </c>
      <c r="I32" s="8">
        <v>6184807.3082879977</v>
      </c>
      <c r="J32" s="8">
        <v>0</v>
      </c>
      <c r="K32" s="8">
        <v>0</v>
      </c>
      <c r="L32" s="158">
        <f>E32+F32-G32-H32-I32</f>
        <v>41429170.892050274</v>
      </c>
      <c r="M32" s="161">
        <v>98.3</v>
      </c>
      <c r="N32" s="60"/>
      <c r="O32" s="103"/>
      <c r="P32" s="163">
        <f t="shared" si="5"/>
        <v>40724874.986885421</v>
      </c>
      <c r="Q32" s="71">
        <f t="shared" si="6"/>
        <v>704295.9051648553</v>
      </c>
      <c r="R32" s="96"/>
      <c r="S32" s="109"/>
      <c r="T32" s="137"/>
      <c r="U32" s="234"/>
      <c r="V32" s="97">
        <f t="shared" si="7"/>
        <v>0</v>
      </c>
      <c r="W32" s="232"/>
      <c r="X32" s="97"/>
      <c r="Y32" s="96"/>
      <c r="Z32" s="95"/>
      <c r="AA32" s="97"/>
    </row>
    <row r="33" spans="1:27" ht="21.95" customHeight="1" x14ac:dyDescent="0.3">
      <c r="A33" s="9"/>
      <c r="B33" s="146" t="s">
        <v>76</v>
      </c>
      <c r="C33" s="7">
        <v>26</v>
      </c>
      <c r="D33" s="8">
        <v>1310706.6000000001</v>
      </c>
      <c r="E33" s="8">
        <v>182146498.44247952</v>
      </c>
      <c r="F33" s="8">
        <v>0</v>
      </c>
      <c r="G33" s="8">
        <v>49542875.583564915</v>
      </c>
      <c r="H33" s="8">
        <v>0</v>
      </c>
      <c r="I33" s="8">
        <v>32593417.850880001</v>
      </c>
      <c r="J33" s="8">
        <v>0</v>
      </c>
      <c r="K33" s="8">
        <v>0</v>
      </c>
      <c r="L33" s="158">
        <f>E33+F33-G33-H33-I33</f>
        <v>100010205.00803462</v>
      </c>
      <c r="M33" s="161">
        <v>99</v>
      </c>
      <c r="N33" s="60"/>
      <c r="O33" s="103"/>
      <c r="P33" s="163">
        <f t="shared" si="5"/>
        <v>99010102.957954273</v>
      </c>
      <c r="Q33" s="71">
        <f t="shared" si="6"/>
        <v>1000102.0500803471</v>
      </c>
      <c r="R33" s="96"/>
      <c r="S33" s="109"/>
      <c r="T33" s="137"/>
      <c r="U33" s="234"/>
      <c r="V33" s="97">
        <f t="shared" si="7"/>
        <v>0</v>
      </c>
      <c r="W33" s="232"/>
      <c r="X33" s="97"/>
      <c r="Y33" s="96"/>
      <c r="Z33" s="95"/>
      <c r="AA33" s="97"/>
    </row>
    <row r="34" spans="1:27" ht="21.95" customHeight="1" x14ac:dyDescent="0.3">
      <c r="A34" s="9"/>
      <c r="B34" s="192" t="s">
        <v>58</v>
      </c>
      <c r="C34" s="89">
        <f>C35+C36</f>
        <v>25</v>
      </c>
      <c r="D34" s="89">
        <f t="shared" ref="D34:K34" si="20">D35+D36</f>
        <v>815666.5</v>
      </c>
      <c r="E34" s="89">
        <f t="shared" si="20"/>
        <v>96075093.207862839</v>
      </c>
      <c r="F34" s="89">
        <f t="shared" si="20"/>
        <v>0</v>
      </c>
      <c r="G34" s="89">
        <f t="shared" si="20"/>
        <v>13671804.472099517</v>
      </c>
      <c r="H34" s="89">
        <f t="shared" si="20"/>
        <v>29203097.193308156</v>
      </c>
      <c r="I34" s="89">
        <f t="shared" si="20"/>
        <v>5328237.182976</v>
      </c>
      <c r="J34" s="89">
        <f t="shared" si="20"/>
        <v>0</v>
      </c>
      <c r="K34" s="89">
        <f t="shared" si="20"/>
        <v>0</v>
      </c>
      <c r="L34" s="103">
        <f>L35+L36</f>
        <v>47871954.359479174</v>
      </c>
      <c r="M34" s="161"/>
      <c r="N34" s="60"/>
      <c r="O34" s="103"/>
      <c r="P34" s="106">
        <f>P35+P36</f>
        <v>47314259.861703008</v>
      </c>
      <c r="Q34" s="71">
        <f>Q35+Q36</f>
        <v>557694.49777616619</v>
      </c>
      <c r="R34" s="96">
        <v>14122845.147459637</v>
      </c>
      <c r="S34" s="109">
        <f t="shared" si="9"/>
        <v>14857233.09512754</v>
      </c>
      <c r="T34" s="137">
        <f>P34*$AD$25</f>
        <v>7324717.6386865433</v>
      </c>
      <c r="U34" s="234">
        <v>12408083.837156134</v>
      </c>
      <c r="V34" s="97">
        <f t="shared" si="7"/>
        <v>5083366.1984695904</v>
      </c>
      <c r="W34" s="232">
        <f t="shared" ref="W34:W46" si="21">T34</f>
        <v>7324717.6386865433</v>
      </c>
      <c r="X34" s="97"/>
      <c r="Y34" s="96" t="e">
        <f>#REF!</f>
        <v>#REF!</v>
      </c>
      <c r="Z34" s="95">
        <f t="shared" si="10"/>
        <v>7324717.6386865433</v>
      </c>
      <c r="AA34" s="97"/>
    </row>
    <row r="35" spans="1:27" ht="21.95" customHeight="1" x14ac:dyDescent="0.3">
      <c r="A35" s="9">
        <v>15</v>
      </c>
      <c r="B35" s="146" t="s">
        <v>14</v>
      </c>
      <c r="C35" s="7">
        <v>22</v>
      </c>
      <c r="D35" s="8">
        <v>595848</v>
      </c>
      <c r="E35" s="8">
        <v>66710331.695157826</v>
      </c>
      <c r="F35" s="8">
        <v>0</v>
      </c>
      <c r="G35" s="8">
        <v>7373329.3031730074</v>
      </c>
      <c r="H35" s="8">
        <v>29203097.193308156</v>
      </c>
      <c r="I35" s="8">
        <v>3808920.4715519994</v>
      </c>
      <c r="J35" s="8">
        <v>0</v>
      </c>
      <c r="K35" s="8">
        <v>0</v>
      </c>
      <c r="L35" s="35">
        <f>E35+F35-G35-H35-I35-K35-J35</f>
        <v>26324984.727124665</v>
      </c>
      <c r="M35" s="161">
        <v>98.7</v>
      </c>
      <c r="N35" s="60">
        <f t="shared" si="11"/>
        <v>25982759.925672043</v>
      </c>
      <c r="O35" s="103">
        <f t="shared" si="12"/>
        <v>65843097.383120775</v>
      </c>
      <c r="P35" s="163">
        <f t="shared" si="5"/>
        <v>25982759.925672043</v>
      </c>
      <c r="Q35" s="71">
        <f t="shared" si="6"/>
        <v>342224.80145262094</v>
      </c>
      <c r="R35" s="96"/>
      <c r="S35" s="109">
        <f t="shared" si="9"/>
        <v>0</v>
      </c>
      <c r="T35" s="137"/>
      <c r="U35" s="234"/>
      <c r="V35" s="97">
        <f t="shared" si="7"/>
        <v>0</v>
      </c>
      <c r="W35" s="232">
        <f t="shared" si="21"/>
        <v>0</v>
      </c>
      <c r="X35" s="97"/>
      <c r="Y35" s="96" t="e">
        <f>#REF!</f>
        <v>#REF!</v>
      </c>
      <c r="Z35" s="95">
        <f t="shared" si="10"/>
        <v>0</v>
      </c>
      <c r="AA35" s="97"/>
    </row>
    <row r="36" spans="1:27" ht="21.95" customHeight="1" x14ac:dyDescent="0.3">
      <c r="A36" s="9"/>
      <c r="B36" s="146" t="s">
        <v>15</v>
      </c>
      <c r="C36" s="7">
        <v>3</v>
      </c>
      <c r="D36" s="8">
        <v>219818.5</v>
      </c>
      <c r="E36" s="8">
        <v>29364761.512705013</v>
      </c>
      <c r="F36" s="8">
        <v>0</v>
      </c>
      <c r="G36" s="8">
        <v>6298475.1689265082</v>
      </c>
      <c r="H36" s="8">
        <v>0</v>
      </c>
      <c r="I36" s="8">
        <v>1519316.7114240001</v>
      </c>
      <c r="J36" s="8">
        <v>0</v>
      </c>
      <c r="K36" s="8">
        <v>0</v>
      </c>
      <c r="L36" s="35">
        <f t="shared" si="17"/>
        <v>21546969.632354505</v>
      </c>
      <c r="M36" s="161">
        <v>99</v>
      </c>
      <c r="N36" s="60">
        <f t="shared" si="11"/>
        <v>21331499.936030962</v>
      </c>
      <c r="O36" s="103">
        <f t="shared" si="12"/>
        <v>29071113.897577964</v>
      </c>
      <c r="P36" s="163">
        <f t="shared" si="5"/>
        <v>21331499.936030962</v>
      </c>
      <c r="Q36" s="71">
        <f t="shared" si="6"/>
        <v>215469.69632354524</v>
      </c>
      <c r="R36" s="96"/>
      <c r="S36" s="109">
        <f t="shared" si="9"/>
        <v>0</v>
      </c>
      <c r="T36" s="137"/>
      <c r="U36" s="234"/>
      <c r="V36" s="97">
        <f t="shared" si="7"/>
        <v>0</v>
      </c>
      <c r="W36" s="232">
        <f t="shared" si="21"/>
        <v>0</v>
      </c>
      <c r="X36" s="97"/>
      <c r="Y36" s="96" t="e">
        <f>#REF!</f>
        <v>#REF!</v>
      </c>
      <c r="Z36" s="95">
        <f t="shared" si="10"/>
        <v>0</v>
      </c>
      <c r="AA36" s="97"/>
    </row>
    <row r="37" spans="1:27" ht="21.95" customHeight="1" x14ac:dyDescent="0.3">
      <c r="A37" s="9">
        <v>16</v>
      </c>
      <c r="B37" s="192" t="s">
        <v>16</v>
      </c>
      <c r="C37" s="89">
        <v>12</v>
      </c>
      <c r="D37" s="90">
        <v>508149</v>
      </c>
      <c r="E37" s="90">
        <v>62335396.050489739</v>
      </c>
      <c r="F37" s="90">
        <v>0</v>
      </c>
      <c r="G37" s="90">
        <v>1807357.8399019181</v>
      </c>
      <c r="H37" s="90">
        <v>35027295.50112769</v>
      </c>
      <c r="I37" s="90">
        <v>248811.60499200001</v>
      </c>
      <c r="J37" s="90">
        <v>0</v>
      </c>
      <c r="K37" s="90">
        <v>0</v>
      </c>
      <c r="L37" s="153">
        <f>E37+F37-G37-H37-I37-K37-J37</f>
        <v>25251931.104468133</v>
      </c>
      <c r="M37" s="161">
        <v>99</v>
      </c>
      <c r="N37" s="60">
        <f t="shared" si="11"/>
        <v>24999411.793423451</v>
      </c>
      <c r="O37" s="103">
        <f t="shared" si="12"/>
        <v>61712042.089984834</v>
      </c>
      <c r="P37" s="106">
        <f t="shared" si="5"/>
        <v>24999411.793423451</v>
      </c>
      <c r="Q37" s="71">
        <f t="shared" si="6"/>
        <v>252519.31104468156</v>
      </c>
      <c r="R37" s="96">
        <v>7799383.928305923</v>
      </c>
      <c r="S37" s="109">
        <f t="shared" si="9"/>
        <v>8204951.8925778316</v>
      </c>
      <c r="T37" s="137">
        <f>P37*$AD$25</f>
        <v>3870157.3913511122</v>
      </c>
      <c r="U37" s="234">
        <v>6556053.0444536256</v>
      </c>
      <c r="V37" s="97">
        <f t="shared" si="7"/>
        <v>2685895.6531025134</v>
      </c>
      <c r="W37" s="232">
        <f t="shared" si="21"/>
        <v>3870157.3913511122</v>
      </c>
      <c r="X37" s="97"/>
      <c r="Y37" s="96" t="e">
        <f>#REF!</f>
        <v>#REF!</v>
      </c>
      <c r="Z37" s="95">
        <f t="shared" si="10"/>
        <v>3870157.3913511122</v>
      </c>
      <c r="AA37" s="97"/>
    </row>
    <row r="38" spans="1:27" ht="21.95" customHeight="1" x14ac:dyDescent="0.3">
      <c r="A38" s="9"/>
      <c r="B38" s="192" t="s">
        <v>60</v>
      </c>
      <c r="C38" s="89">
        <f>C39+C40</f>
        <v>28</v>
      </c>
      <c r="D38" s="89">
        <f t="shared" ref="D38:L38" si="22">D39+D40</f>
        <v>1002371.7</v>
      </c>
      <c r="E38" s="89">
        <f t="shared" si="22"/>
        <v>139977461.27994537</v>
      </c>
      <c r="F38" s="89">
        <f t="shared" si="22"/>
        <v>0</v>
      </c>
      <c r="G38" s="89">
        <f t="shared" si="22"/>
        <v>23009133.445432574</v>
      </c>
      <c r="H38" s="89">
        <f t="shared" si="22"/>
        <v>27388410.873528309</v>
      </c>
      <c r="I38" s="89">
        <f t="shared" si="22"/>
        <v>5382841.9052800005</v>
      </c>
      <c r="J38" s="89">
        <f>J39+J40</f>
        <v>0</v>
      </c>
      <c r="K38" s="89">
        <f>K39+K40</f>
        <v>0</v>
      </c>
      <c r="L38" s="103">
        <f t="shared" si="22"/>
        <v>84197075.055704504</v>
      </c>
      <c r="M38" s="161">
        <v>97.9</v>
      </c>
      <c r="N38" s="60"/>
      <c r="O38" s="103"/>
      <c r="P38" s="106">
        <f>P39+P40</f>
        <v>82428936.479534715</v>
      </c>
      <c r="Q38" s="71">
        <f>Q39+Q40</f>
        <v>1768138.5761697867</v>
      </c>
      <c r="R38" s="96">
        <v>21182429.377800208</v>
      </c>
      <c r="S38" s="109">
        <f t="shared" si="9"/>
        <v>22283915.705445819</v>
      </c>
      <c r="T38" s="137">
        <f>P38*$AD$25</f>
        <v>12760818.550995057</v>
      </c>
      <c r="U38" s="234">
        <v>21616847.805190854</v>
      </c>
      <c r="V38" s="97">
        <f t="shared" si="7"/>
        <v>8856029.2541957963</v>
      </c>
      <c r="W38" s="232">
        <f t="shared" si="21"/>
        <v>12760818.550995057</v>
      </c>
      <c r="X38" s="97"/>
      <c r="Y38" s="96" t="e">
        <f>#REF!</f>
        <v>#REF!</v>
      </c>
      <c r="Z38" s="95">
        <f t="shared" si="10"/>
        <v>12760818.550995057</v>
      </c>
      <c r="AA38" s="97"/>
    </row>
    <row r="39" spans="1:27" s="13" customFormat="1" ht="21.95" customHeight="1" x14ac:dyDescent="0.25">
      <c r="A39" s="12">
        <v>17</v>
      </c>
      <c r="B39" s="87" t="s">
        <v>59</v>
      </c>
      <c r="C39" s="7">
        <v>20</v>
      </c>
      <c r="D39" s="8">
        <v>626708</v>
      </c>
      <c r="E39" s="8">
        <v>84684175.416097596</v>
      </c>
      <c r="F39" s="8">
        <v>0</v>
      </c>
      <c r="G39" s="8">
        <v>7331268.5285663791</v>
      </c>
      <c r="H39" s="8">
        <v>27388410.873528309</v>
      </c>
      <c r="I39" s="8">
        <v>3950844.7150080004</v>
      </c>
      <c r="J39" s="8">
        <v>0</v>
      </c>
      <c r="K39" s="8">
        <v>0</v>
      </c>
      <c r="L39" s="35">
        <f>E39+F39-G39-H39-I39-K39</f>
        <v>46013651.298994914</v>
      </c>
      <c r="M39" s="161">
        <v>97.9</v>
      </c>
      <c r="N39" s="60">
        <f t="shared" si="11"/>
        <v>45047364.621716022</v>
      </c>
      <c r="O39" s="103">
        <f t="shared" si="12"/>
        <v>82905807.732359558</v>
      </c>
      <c r="P39" s="163">
        <f t="shared" si="5"/>
        <v>45047364.621716022</v>
      </c>
      <c r="Q39" s="71">
        <f t="shared" si="6"/>
        <v>966286.67727888899</v>
      </c>
      <c r="R39" s="96"/>
      <c r="S39" s="109">
        <f t="shared" si="9"/>
        <v>0</v>
      </c>
      <c r="T39" s="137"/>
      <c r="U39" s="234"/>
      <c r="V39" s="97">
        <f t="shared" si="7"/>
        <v>0</v>
      </c>
      <c r="W39" s="232">
        <f t="shared" si="21"/>
        <v>0</v>
      </c>
      <c r="X39" s="97"/>
      <c r="Y39" s="96" t="e">
        <f>#REF!</f>
        <v>#REF!</v>
      </c>
      <c r="Z39" s="95">
        <f t="shared" si="10"/>
        <v>0</v>
      </c>
      <c r="AA39" s="97"/>
    </row>
    <row r="40" spans="1:27" s="13" customFormat="1" ht="21.95" customHeight="1" x14ac:dyDescent="0.25">
      <c r="A40" s="12"/>
      <c r="B40" s="87" t="s">
        <v>53</v>
      </c>
      <c r="C40" s="7">
        <v>8</v>
      </c>
      <c r="D40" s="8">
        <v>375663.7</v>
      </c>
      <c r="E40" s="8">
        <v>55293285.863847777</v>
      </c>
      <c r="F40" s="8">
        <v>0</v>
      </c>
      <c r="G40" s="8">
        <v>15677864.916866193</v>
      </c>
      <c r="H40" s="8">
        <v>0</v>
      </c>
      <c r="I40" s="8">
        <v>1431997.1902720002</v>
      </c>
      <c r="J40" s="8">
        <v>0</v>
      </c>
      <c r="K40" s="8">
        <v>0</v>
      </c>
      <c r="L40" s="35">
        <v>38183423.756709583</v>
      </c>
      <c r="M40" s="161">
        <v>97.9</v>
      </c>
      <c r="N40" s="60">
        <f t="shared" si="11"/>
        <v>37381571.857818685</v>
      </c>
      <c r="O40" s="103">
        <f t="shared" si="12"/>
        <v>54132126.860706978</v>
      </c>
      <c r="P40" s="163">
        <f t="shared" si="5"/>
        <v>37381571.857818685</v>
      </c>
      <c r="Q40" s="71">
        <f t="shared" si="6"/>
        <v>801851.89889089775</v>
      </c>
      <c r="R40" s="96"/>
      <c r="S40" s="109">
        <f t="shared" si="9"/>
        <v>0</v>
      </c>
      <c r="T40" s="137"/>
      <c r="U40" s="234"/>
      <c r="V40" s="97">
        <f t="shared" si="7"/>
        <v>0</v>
      </c>
      <c r="W40" s="232">
        <f t="shared" si="21"/>
        <v>0</v>
      </c>
      <c r="X40" s="97"/>
      <c r="Y40" s="96" t="e">
        <f>#REF!</f>
        <v>#REF!</v>
      </c>
      <c r="Z40" s="95">
        <f t="shared" si="10"/>
        <v>0</v>
      </c>
      <c r="AA40" s="97"/>
    </row>
    <row r="41" spans="1:27" ht="21.95" customHeight="1" x14ac:dyDescent="0.25">
      <c r="A41" s="9">
        <v>18</v>
      </c>
      <c r="B41" s="197" t="s">
        <v>17</v>
      </c>
      <c r="C41" s="155">
        <v>42</v>
      </c>
      <c r="D41" s="90">
        <v>1037206.4</v>
      </c>
      <c r="E41" s="90">
        <v>128975249.02928977</v>
      </c>
      <c r="F41" s="90">
        <v>671885.67782063002</v>
      </c>
      <c r="G41" s="90">
        <v>17533514.263402246</v>
      </c>
      <c r="H41" s="90">
        <v>45474847.085434854</v>
      </c>
      <c r="I41" s="90">
        <v>2879348.1615360002</v>
      </c>
      <c r="J41" s="90">
        <v>0</v>
      </c>
      <c r="K41" s="90">
        <v>0</v>
      </c>
      <c r="L41" s="153">
        <f>E41+F41-G41-H41-I41-K41-J41</f>
        <v>63759425.196737297</v>
      </c>
      <c r="M41" s="161">
        <v>98.1</v>
      </c>
      <c r="N41" s="60">
        <f t="shared" si="11"/>
        <v>62547996.117999285</v>
      </c>
      <c r="O41" s="103">
        <f t="shared" si="12"/>
        <v>127183839.14767529</v>
      </c>
      <c r="P41" s="106">
        <f t="shared" si="5"/>
        <v>62547996.117999285</v>
      </c>
      <c r="Q41" s="71">
        <f t="shared" si="6"/>
        <v>1211429.0787380098</v>
      </c>
      <c r="R41" s="96">
        <v>16085892.543640135</v>
      </c>
      <c r="S41" s="109">
        <f t="shared" si="9"/>
        <v>16922358.955909424</v>
      </c>
      <c r="T41" s="137">
        <f>P41*$AD$25</f>
        <v>9683051.4049917236</v>
      </c>
      <c r="U41" s="234">
        <v>16403105.151528347</v>
      </c>
      <c r="V41" s="97">
        <f t="shared" si="7"/>
        <v>6720053.7465366237</v>
      </c>
      <c r="W41" s="232">
        <f t="shared" si="21"/>
        <v>9683051.4049917236</v>
      </c>
      <c r="X41" s="97"/>
      <c r="Y41" s="96" t="e">
        <f>#REF!</f>
        <v>#REF!</v>
      </c>
      <c r="Z41" s="95">
        <f t="shared" si="10"/>
        <v>9683051.4049917236</v>
      </c>
      <c r="AA41" s="97"/>
    </row>
    <row r="42" spans="1:27" ht="21.95" customHeight="1" x14ac:dyDescent="0.25">
      <c r="A42" s="9"/>
      <c r="B42" s="197" t="s">
        <v>42</v>
      </c>
      <c r="C42" s="155">
        <v>3</v>
      </c>
      <c r="D42" s="90">
        <v>836249.31</v>
      </c>
      <c r="E42" s="90">
        <v>95971375.712253749</v>
      </c>
      <c r="F42" s="90">
        <v>176970</v>
      </c>
      <c r="G42" s="90">
        <v>465831.82950400002</v>
      </c>
      <c r="H42" s="90">
        <v>50463429.632159844</v>
      </c>
      <c r="I42" s="90">
        <v>616808.300544</v>
      </c>
      <c r="J42" s="90">
        <v>0</v>
      </c>
      <c r="K42" s="90">
        <v>0</v>
      </c>
      <c r="L42" s="153">
        <f t="shared" si="17"/>
        <v>44602275.950045906</v>
      </c>
      <c r="M42" s="161">
        <v>95</v>
      </c>
      <c r="N42" s="60">
        <f t="shared" si="11"/>
        <v>42372162.152543612</v>
      </c>
      <c r="O42" s="103">
        <f t="shared" si="12"/>
        <v>91340928.426641062</v>
      </c>
      <c r="P42" s="106">
        <f t="shared" si="5"/>
        <v>42372162.152543612</v>
      </c>
      <c r="Q42" s="71">
        <f t="shared" si="6"/>
        <v>2230113.7975022974</v>
      </c>
      <c r="R42" s="96">
        <v>8077758.9354877025</v>
      </c>
      <c r="S42" s="109">
        <f t="shared" si="9"/>
        <v>8497802.400133064</v>
      </c>
      <c r="T42" s="137">
        <f>P42*$AD$25</f>
        <v>6559631.7984303236</v>
      </c>
      <c r="U42" s="234">
        <v>11112027.153908677</v>
      </c>
      <c r="V42" s="97">
        <f t="shared" si="7"/>
        <v>4552395.3554783538</v>
      </c>
      <c r="W42" s="232">
        <f t="shared" si="21"/>
        <v>6559631.7984303236</v>
      </c>
      <c r="X42" s="97"/>
      <c r="Y42" s="96" t="e">
        <f>#REF!</f>
        <v>#REF!</v>
      </c>
      <c r="Z42" s="95">
        <f t="shared" si="10"/>
        <v>6559631.7984303236</v>
      </c>
      <c r="AA42" s="97"/>
    </row>
    <row r="43" spans="1:27" ht="21.95" customHeight="1" x14ac:dyDescent="0.25">
      <c r="A43" s="9"/>
      <c r="B43" s="197" t="s">
        <v>61</v>
      </c>
      <c r="C43" s="155">
        <f>C44+C45</f>
        <v>14</v>
      </c>
      <c r="D43" s="155">
        <f t="shared" ref="D43:K43" si="23">D44+D45</f>
        <v>640673.5</v>
      </c>
      <c r="E43" s="155">
        <f t="shared" si="23"/>
        <v>87273433.598358884</v>
      </c>
      <c r="F43" s="155">
        <f t="shared" si="23"/>
        <v>1258000</v>
      </c>
      <c r="G43" s="155">
        <f t="shared" si="23"/>
        <v>12587277.632700559</v>
      </c>
      <c r="H43" s="155">
        <f t="shared" si="23"/>
        <v>25401592.091893755</v>
      </c>
      <c r="I43" s="155">
        <f t="shared" si="23"/>
        <v>3912349.2065279996</v>
      </c>
      <c r="J43" s="155">
        <f t="shared" si="23"/>
        <v>0</v>
      </c>
      <c r="K43" s="155">
        <f t="shared" si="23"/>
        <v>0</v>
      </c>
      <c r="L43" s="157">
        <f>L44+L45</f>
        <v>46630215.667236574</v>
      </c>
      <c r="M43" s="161"/>
      <c r="N43" s="60"/>
      <c r="O43" s="103"/>
      <c r="P43" s="106">
        <f>P44+P45</f>
        <v>45895496.730828546</v>
      </c>
      <c r="Q43" s="71">
        <f>Q44+Q45</f>
        <v>734718.93640802801</v>
      </c>
      <c r="R43" s="96">
        <v>15329586.308061566</v>
      </c>
      <c r="S43" s="109">
        <f t="shared" si="9"/>
        <v>16126724.796080768</v>
      </c>
      <c r="T43" s="137">
        <f>P43*$AD$25</f>
        <v>7105079.0062698117</v>
      </c>
      <c r="U43" s="234">
        <v>12036015.62929634</v>
      </c>
      <c r="V43" s="97">
        <f t="shared" si="7"/>
        <v>4930936.6230265284</v>
      </c>
      <c r="W43" s="232">
        <f t="shared" si="21"/>
        <v>7105079.0062698117</v>
      </c>
      <c r="X43" s="97"/>
      <c r="Y43" s="96" t="e">
        <f>#REF!</f>
        <v>#REF!</v>
      </c>
      <c r="Z43" s="95">
        <f t="shared" si="10"/>
        <v>7105079.0062698117</v>
      </c>
      <c r="AA43" s="97"/>
    </row>
    <row r="44" spans="1:27" ht="21.95" customHeight="1" x14ac:dyDescent="0.25">
      <c r="A44" s="9">
        <v>20</v>
      </c>
      <c r="B44" s="147" t="s">
        <v>18</v>
      </c>
      <c r="C44" s="14">
        <v>13</v>
      </c>
      <c r="D44" s="8">
        <v>567892</v>
      </c>
      <c r="E44" s="8">
        <v>67587642.689539447</v>
      </c>
      <c r="F44" s="8">
        <v>1258000</v>
      </c>
      <c r="G44" s="8">
        <v>8405612</v>
      </c>
      <c r="H44" s="8">
        <v>25401592.091893755</v>
      </c>
      <c r="I44" s="8">
        <v>1486342.1306879998</v>
      </c>
      <c r="J44" s="8">
        <v>0</v>
      </c>
      <c r="K44" s="8">
        <v>0</v>
      </c>
      <c r="L44" s="35">
        <f>E44+F44-G44-H44-I44-K44-J44+1</f>
        <v>33552097.466957692</v>
      </c>
      <c r="M44" s="161">
        <v>98.2</v>
      </c>
      <c r="N44" s="60">
        <f t="shared" si="11"/>
        <v>32948159.712552458</v>
      </c>
      <c r="O44" s="103">
        <f t="shared" si="12"/>
        <v>67606421.12112774</v>
      </c>
      <c r="P44" s="163">
        <f t="shared" si="5"/>
        <v>32948159.712552454</v>
      </c>
      <c r="Q44" s="71">
        <f t="shared" si="6"/>
        <v>603937.75440523901</v>
      </c>
      <c r="R44" s="96"/>
      <c r="S44" s="109">
        <f t="shared" si="9"/>
        <v>0</v>
      </c>
      <c r="T44" s="137"/>
      <c r="U44" s="234"/>
      <c r="V44" s="97">
        <f t="shared" si="7"/>
        <v>0</v>
      </c>
      <c r="W44" s="232">
        <f t="shared" si="21"/>
        <v>0</v>
      </c>
      <c r="X44" s="97"/>
      <c r="Y44" s="96" t="e">
        <f>#REF!</f>
        <v>#REF!</v>
      </c>
      <c r="Z44" s="95">
        <f t="shared" si="10"/>
        <v>0</v>
      </c>
      <c r="AA44" s="97"/>
    </row>
    <row r="45" spans="1:27" ht="21.95" customHeight="1" x14ac:dyDescent="0.25">
      <c r="A45" s="9"/>
      <c r="B45" s="147" t="s">
        <v>43</v>
      </c>
      <c r="C45" s="14">
        <v>1</v>
      </c>
      <c r="D45" s="8">
        <v>72781.5</v>
      </c>
      <c r="E45" s="8">
        <v>19685790.908819441</v>
      </c>
      <c r="F45" s="8">
        <v>0</v>
      </c>
      <c r="G45" s="8">
        <v>4181665.6327005578</v>
      </c>
      <c r="H45" s="8">
        <v>0</v>
      </c>
      <c r="I45" s="8">
        <v>2426007.0758400001</v>
      </c>
      <c r="J45" s="8">
        <v>0</v>
      </c>
      <c r="K45" s="8">
        <v>0</v>
      </c>
      <c r="L45" s="35">
        <f>E45+F45-G45-H45-I45-K45-J45</f>
        <v>13078118.200278882</v>
      </c>
      <c r="M45" s="161">
        <v>99</v>
      </c>
      <c r="N45" s="60">
        <f t="shared" si="11"/>
        <v>12947337.018276094</v>
      </c>
      <c r="O45" s="103">
        <f t="shared" si="12"/>
        <v>19488932.999731246</v>
      </c>
      <c r="P45" s="163">
        <f t="shared" si="5"/>
        <v>12947337.018276094</v>
      </c>
      <c r="Q45" s="71">
        <f t="shared" si="6"/>
        <v>130781.18200278893</v>
      </c>
      <c r="R45" s="96"/>
      <c r="S45" s="109">
        <f t="shared" si="9"/>
        <v>0</v>
      </c>
      <c r="T45" s="137"/>
      <c r="U45" s="234"/>
      <c r="V45" s="97">
        <f t="shared" si="7"/>
        <v>0</v>
      </c>
      <c r="W45" s="232">
        <f t="shared" si="21"/>
        <v>0</v>
      </c>
      <c r="X45" s="97"/>
      <c r="Y45" s="96" t="e">
        <f>#REF!</f>
        <v>#REF!</v>
      </c>
      <c r="Z45" s="95">
        <f t="shared" si="10"/>
        <v>0</v>
      </c>
      <c r="AA45" s="97"/>
    </row>
    <row r="46" spans="1:27" ht="21.95" customHeight="1" x14ac:dyDescent="0.25">
      <c r="A46" s="9">
        <v>21</v>
      </c>
      <c r="B46" s="197" t="s">
        <v>91</v>
      </c>
      <c r="C46" s="155">
        <f>C47+C48</f>
        <v>12</v>
      </c>
      <c r="D46" s="155">
        <f t="shared" ref="D46:L46" si="24">D47+D48</f>
        <v>226911</v>
      </c>
      <c r="E46" s="155">
        <f t="shared" si="24"/>
        <v>34817397.013850704</v>
      </c>
      <c r="F46" s="155">
        <f t="shared" si="24"/>
        <v>0</v>
      </c>
      <c r="G46" s="155">
        <f t="shared" si="24"/>
        <v>1243069.2359214968</v>
      </c>
      <c r="H46" s="155">
        <f t="shared" si="24"/>
        <v>13433578.37635584</v>
      </c>
      <c r="I46" s="155">
        <f t="shared" si="24"/>
        <v>486373.01760000002</v>
      </c>
      <c r="J46" s="155">
        <f t="shared" si="24"/>
        <v>0</v>
      </c>
      <c r="K46" s="155">
        <f t="shared" si="24"/>
        <v>0</v>
      </c>
      <c r="L46" s="157">
        <f t="shared" si="24"/>
        <v>19654376.383973368</v>
      </c>
      <c r="M46" s="161">
        <v>99</v>
      </c>
      <c r="N46" s="60">
        <f t="shared" si="11"/>
        <v>19457832.620133635</v>
      </c>
      <c r="O46" s="103">
        <f t="shared" si="12"/>
        <v>34469223.043712199</v>
      </c>
      <c r="P46" s="106">
        <f>P47+P48</f>
        <v>19457832.620133635</v>
      </c>
      <c r="Q46" s="71">
        <f>Q47+Q48</f>
        <v>196543.76383973385</v>
      </c>
      <c r="R46" s="96">
        <v>6598863.7719413377</v>
      </c>
      <c r="S46" s="109">
        <f t="shared" si="9"/>
        <v>6942004.688082288</v>
      </c>
      <c r="T46" s="137">
        <f>P46*$AD$25</f>
        <v>3012265.8627629504</v>
      </c>
      <c r="U46" s="234">
        <v>5102783.3711373508</v>
      </c>
      <c r="V46" s="97">
        <f t="shared" si="7"/>
        <v>2090517.5083744004</v>
      </c>
      <c r="W46" s="232">
        <f t="shared" si="21"/>
        <v>3012265.8627629504</v>
      </c>
      <c r="X46" s="97"/>
      <c r="Y46" s="96" t="e">
        <f>#REF!</f>
        <v>#REF!</v>
      </c>
      <c r="Z46" s="95">
        <f t="shared" si="10"/>
        <v>3012265.8627629504</v>
      </c>
      <c r="AA46" s="97"/>
    </row>
    <row r="47" spans="1:27" ht="21.95" customHeight="1" x14ac:dyDescent="0.25">
      <c r="A47" s="9"/>
      <c r="B47" s="147" t="s">
        <v>92</v>
      </c>
      <c r="C47" s="14">
        <v>11</v>
      </c>
      <c r="D47" s="8">
        <v>220164</v>
      </c>
      <c r="E47" s="8">
        <v>32777686.465192296</v>
      </c>
      <c r="F47" s="8">
        <v>0</v>
      </c>
      <c r="G47" s="8">
        <v>1232181.0439214967</v>
      </c>
      <c r="H47" s="8">
        <v>13433578.37635584</v>
      </c>
      <c r="I47" s="8">
        <v>486373.01760000002</v>
      </c>
      <c r="J47" s="8">
        <v>0</v>
      </c>
      <c r="K47" s="8">
        <v>0</v>
      </c>
      <c r="L47" s="35">
        <f t="shared" si="17"/>
        <v>17625554.027314961</v>
      </c>
      <c r="M47" s="161">
        <v>99</v>
      </c>
      <c r="N47" s="60"/>
      <c r="O47" s="103"/>
      <c r="P47" s="163">
        <f>L47*(M47/100)</f>
        <v>17449298.487041812</v>
      </c>
      <c r="Q47" s="71">
        <f t="shared" si="6"/>
        <v>176255.54027314976</v>
      </c>
      <c r="R47" s="96"/>
      <c r="S47" s="109"/>
      <c r="T47" s="137"/>
      <c r="U47" s="234"/>
      <c r="V47" s="97">
        <f t="shared" si="7"/>
        <v>0</v>
      </c>
      <c r="W47" s="232"/>
      <c r="X47" s="97"/>
      <c r="Y47" s="96"/>
      <c r="Z47" s="95"/>
      <c r="AA47" s="97"/>
    </row>
    <row r="48" spans="1:27" ht="21.95" customHeight="1" x14ac:dyDescent="0.25">
      <c r="A48" s="9"/>
      <c r="B48" s="147" t="s">
        <v>85</v>
      </c>
      <c r="C48" s="14">
        <v>1</v>
      </c>
      <c r="D48" s="8">
        <v>6747</v>
      </c>
      <c r="E48" s="8">
        <v>2039710.548658408</v>
      </c>
      <c r="F48" s="8">
        <v>0</v>
      </c>
      <c r="G48" s="8">
        <v>10888.192000000001</v>
      </c>
      <c r="H48" s="8">
        <v>0</v>
      </c>
      <c r="I48" s="8">
        <v>0</v>
      </c>
      <c r="J48" s="8">
        <v>0</v>
      </c>
      <c r="K48" s="8">
        <v>0</v>
      </c>
      <c r="L48" s="35">
        <f t="shared" si="17"/>
        <v>2028822.356658408</v>
      </c>
      <c r="M48" s="161">
        <v>99</v>
      </c>
      <c r="N48" s="60"/>
      <c r="O48" s="103"/>
      <c r="P48" s="163">
        <f t="shared" si="5"/>
        <v>2008534.1330918239</v>
      </c>
      <c r="Q48" s="71">
        <f t="shared" si="6"/>
        <v>20288.223566584096</v>
      </c>
      <c r="R48" s="96"/>
      <c r="S48" s="109"/>
      <c r="T48" s="137"/>
      <c r="U48" s="234"/>
      <c r="V48" s="97">
        <f t="shared" si="7"/>
        <v>0</v>
      </c>
      <c r="W48" s="232"/>
      <c r="X48" s="97"/>
      <c r="Y48" s="96"/>
      <c r="Z48" s="95"/>
      <c r="AA48" s="97"/>
    </row>
    <row r="49" spans="1:27" ht="21.95" customHeight="1" x14ac:dyDescent="0.25">
      <c r="A49" s="9">
        <v>22</v>
      </c>
      <c r="B49" s="196" t="s">
        <v>93</v>
      </c>
      <c r="C49" s="89">
        <f>C50+C51</f>
        <v>25</v>
      </c>
      <c r="D49" s="89">
        <f t="shared" ref="D49:L49" si="25">D50+D51</f>
        <v>793410.5</v>
      </c>
      <c r="E49" s="89">
        <f t="shared" si="25"/>
        <v>141484847.85851538</v>
      </c>
      <c r="F49" s="89">
        <f t="shared" si="25"/>
        <v>0</v>
      </c>
      <c r="G49" s="89">
        <f t="shared" si="25"/>
        <v>23179912.440775882</v>
      </c>
      <c r="H49" s="89">
        <f t="shared" si="25"/>
        <v>24886744.630479872</v>
      </c>
      <c r="I49" s="89">
        <f t="shared" si="25"/>
        <v>13655733.285888001</v>
      </c>
      <c r="J49" s="89">
        <f t="shared" si="25"/>
        <v>0</v>
      </c>
      <c r="K49" s="89">
        <f t="shared" si="25"/>
        <v>0</v>
      </c>
      <c r="L49" s="103">
        <f t="shared" si="25"/>
        <v>79762457.501371637</v>
      </c>
      <c r="M49" s="161">
        <v>98.5</v>
      </c>
      <c r="N49" s="60">
        <f t="shared" si="11"/>
        <v>78566020.638851061</v>
      </c>
      <c r="O49" s="103">
        <f t="shared" si="12"/>
        <v>139362575.14063764</v>
      </c>
      <c r="P49" s="106">
        <f>P50+P51</f>
        <v>78566020.638851061</v>
      </c>
      <c r="Q49" s="71">
        <f>Q50+Q51</f>
        <v>1196436.8625205755</v>
      </c>
      <c r="R49" s="96">
        <v>24033017.029605322</v>
      </c>
      <c r="S49" s="109">
        <f t="shared" si="9"/>
        <v>25282733.915144801</v>
      </c>
      <c r="T49" s="137">
        <f>P49*$AD$25</f>
        <v>12162800.788956271</v>
      </c>
      <c r="U49" s="234">
        <v>20603804.723735452</v>
      </c>
      <c r="V49" s="97">
        <f t="shared" si="7"/>
        <v>8441003.9347791802</v>
      </c>
      <c r="W49" s="232">
        <f>T49</f>
        <v>12162800.788956271</v>
      </c>
      <c r="X49" s="97"/>
      <c r="Y49" s="96" t="e">
        <f>#REF!</f>
        <v>#REF!</v>
      </c>
      <c r="Z49" s="95">
        <f t="shared" si="10"/>
        <v>12162800.788956271</v>
      </c>
      <c r="AA49" s="97"/>
    </row>
    <row r="50" spans="1:27" ht="21.95" customHeight="1" x14ac:dyDescent="0.25">
      <c r="A50" s="9"/>
      <c r="B50" s="87" t="s">
        <v>94</v>
      </c>
      <c r="C50" s="7">
        <v>20</v>
      </c>
      <c r="D50" s="8">
        <v>517911</v>
      </c>
      <c r="E50" s="8">
        <v>74670184.388232559</v>
      </c>
      <c r="F50" s="8">
        <v>0</v>
      </c>
      <c r="G50" s="8">
        <v>6867967.531317682</v>
      </c>
      <c r="H50" s="8">
        <v>24886744.630479872</v>
      </c>
      <c r="I50" s="8">
        <v>2229520.8038400002</v>
      </c>
      <c r="J50" s="8">
        <v>0</v>
      </c>
      <c r="K50" s="8">
        <v>0</v>
      </c>
      <c r="L50" s="35">
        <f t="shared" ref="L50:L52" si="26">E50+F50-G50-H50-I50-K50</f>
        <v>40685951.422595009</v>
      </c>
      <c r="M50" s="161">
        <v>98.5</v>
      </c>
      <c r="N50" s="60"/>
      <c r="O50" s="103"/>
      <c r="P50" s="163">
        <f t="shared" si="5"/>
        <v>40075662.151256084</v>
      </c>
      <c r="Q50" s="71">
        <f t="shared" si="6"/>
        <v>610289.2713389257</v>
      </c>
      <c r="R50" s="96"/>
      <c r="S50" s="109"/>
      <c r="T50" s="137"/>
      <c r="U50" s="234"/>
      <c r="V50" s="97">
        <f t="shared" si="7"/>
        <v>0</v>
      </c>
      <c r="W50" s="232"/>
      <c r="X50" s="97"/>
      <c r="Y50" s="96"/>
      <c r="Z50" s="95"/>
      <c r="AA50" s="97"/>
    </row>
    <row r="51" spans="1:27" ht="21.95" customHeight="1" x14ac:dyDescent="0.25">
      <c r="A51" s="9"/>
      <c r="B51" s="87" t="s">
        <v>84</v>
      </c>
      <c r="C51" s="7">
        <v>5</v>
      </c>
      <c r="D51" s="8">
        <v>275499.5</v>
      </c>
      <c r="E51" s="8">
        <v>66814663.470282838</v>
      </c>
      <c r="F51" s="8">
        <v>0</v>
      </c>
      <c r="G51" s="8">
        <v>16311944.909458201</v>
      </c>
      <c r="H51" s="8">
        <v>0</v>
      </c>
      <c r="I51" s="8">
        <v>11426212.482048001</v>
      </c>
      <c r="J51" s="8">
        <v>0</v>
      </c>
      <c r="K51" s="8">
        <v>0</v>
      </c>
      <c r="L51" s="35">
        <f t="shared" si="26"/>
        <v>39076506.078776628</v>
      </c>
      <c r="M51" s="161">
        <v>98.5</v>
      </c>
      <c r="N51" s="60"/>
      <c r="O51" s="103"/>
      <c r="P51" s="163">
        <f t="shared" si="5"/>
        <v>38490358.487594977</v>
      </c>
      <c r="Q51" s="71">
        <f t="shared" si="6"/>
        <v>586147.59118164994</v>
      </c>
      <c r="R51" s="96"/>
      <c r="S51" s="109"/>
      <c r="T51" s="137"/>
      <c r="U51" s="234"/>
      <c r="V51" s="97">
        <f t="shared" si="7"/>
        <v>0</v>
      </c>
      <c r="W51" s="232"/>
      <c r="X51" s="97"/>
      <c r="Y51" s="96"/>
      <c r="Z51" s="95"/>
      <c r="AA51" s="97"/>
    </row>
    <row r="52" spans="1:27" ht="21.75" customHeight="1" x14ac:dyDescent="0.25">
      <c r="A52" s="9">
        <v>23</v>
      </c>
      <c r="B52" s="196" t="s">
        <v>87</v>
      </c>
      <c r="C52" s="89">
        <v>22</v>
      </c>
      <c r="D52" s="90">
        <v>767115</v>
      </c>
      <c r="E52" s="90">
        <v>88114820.355394915</v>
      </c>
      <c r="F52" s="90">
        <v>0</v>
      </c>
      <c r="G52" s="90">
        <v>9102463.3952529691</v>
      </c>
      <c r="H52" s="90">
        <v>38953620.564019188</v>
      </c>
      <c r="I52" s="90">
        <v>1427399.1751680004</v>
      </c>
      <c r="J52" s="90">
        <v>0</v>
      </c>
      <c r="K52" s="90">
        <v>0</v>
      </c>
      <c r="L52" s="153">
        <f t="shared" si="26"/>
        <v>38631337.220954753</v>
      </c>
      <c r="M52" s="161">
        <v>98</v>
      </c>
      <c r="N52" s="60">
        <f t="shared" si="11"/>
        <v>37858710.476535656</v>
      </c>
      <c r="O52" s="103">
        <f t="shared" si="12"/>
        <v>86352523.94828701</v>
      </c>
      <c r="P52" s="106">
        <f t="shared" si="5"/>
        <v>37858710.476535656</v>
      </c>
      <c r="Q52" s="71">
        <f t="shared" si="6"/>
        <v>772626.7444190958</v>
      </c>
      <c r="R52" s="96">
        <v>9648688.2483399287</v>
      </c>
      <c r="S52" s="109">
        <f t="shared" si="9"/>
        <v>10150420.037253605</v>
      </c>
      <c r="T52" s="137">
        <f>P52*$AD$25</f>
        <v>5860904.6240172256</v>
      </c>
      <c r="U52" s="234">
        <v>9928382.1607384551</v>
      </c>
      <c r="V52" s="97">
        <f t="shared" si="7"/>
        <v>4067477.5367212296</v>
      </c>
      <c r="W52" s="232">
        <f>T52</f>
        <v>5860904.6240172256</v>
      </c>
      <c r="X52" s="97"/>
      <c r="Y52" s="96" t="e">
        <f>#REF!</f>
        <v>#REF!</v>
      </c>
      <c r="Z52" s="95">
        <f t="shared" si="10"/>
        <v>5860904.6240172256</v>
      </c>
      <c r="AA52" s="97"/>
    </row>
    <row r="53" spans="1:27" ht="21.75" customHeight="1" x14ac:dyDescent="0.3">
      <c r="A53" s="9">
        <v>24</v>
      </c>
      <c r="B53" s="192" t="s">
        <v>83</v>
      </c>
      <c r="C53" s="89">
        <f>C54+C55</f>
        <v>64</v>
      </c>
      <c r="D53" s="89">
        <f t="shared" ref="D53:L53" si="27">D54+D55</f>
        <v>1314677.8</v>
      </c>
      <c r="E53" s="89">
        <f t="shared" si="27"/>
        <v>213471993.66757131</v>
      </c>
      <c r="F53" s="89">
        <f t="shared" si="27"/>
        <v>0</v>
      </c>
      <c r="G53" s="89">
        <f t="shared" si="27"/>
        <v>20846204.369480003</v>
      </c>
      <c r="H53" s="89">
        <f t="shared" si="27"/>
        <v>34359461.423616</v>
      </c>
      <c r="I53" s="89">
        <f t="shared" si="27"/>
        <v>6596076.0453120004</v>
      </c>
      <c r="J53" s="89">
        <f t="shared" si="27"/>
        <v>0</v>
      </c>
      <c r="K53" s="89">
        <f t="shared" si="27"/>
        <v>0</v>
      </c>
      <c r="L53" s="103">
        <f t="shared" si="27"/>
        <v>151670251.82916328</v>
      </c>
      <c r="M53" s="161"/>
      <c r="N53" s="60">
        <f t="shared" si="11"/>
        <v>0</v>
      </c>
      <c r="O53" s="103">
        <f t="shared" si="12"/>
        <v>0</v>
      </c>
      <c r="P53" s="106">
        <f>P54+P55</f>
        <v>149723816.24627671</v>
      </c>
      <c r="Q53" s="71">
        <f>Q54+Q55</f>
        <v>1946435.5828865906</v>
      </c>
      <c r="R53" s="96">
        <v>27244785.067823961</v>
      </c>
      <c r="S53" s="109">
        <f t="shared" si="9"/>
        <v>28661513.891350809</v>
      </c>
      <c r="T53" s="137">
        <f>P53*$AD$25</f>
        <v>23178734.71964087</v>
      </c>
      <c r="U53" s="234">
        <v>39264815.086043127</v>
      </c>
      <c r="V53" s="97">
        <f t="shared" si="7"/>
        <v>16086080.366402257</v>
      </c>
      <c r="W53" s="232">
        <f>T53</f>
        <v>23178734.71964087</v>
      </c>
      <c r="X53" s="97"/>
      <c r="Y53" s="96" t="e">
        <f>#REF!</f>
        <v>#REF!</v>
      </c>
      <c r="Z53" s="95">
        <f t="shared" si="10"/>
        <v>23178734.71964087</v>
      </c>
      <c r="AA53" s="97"/>
    </row>
    <row r="54" spans="1:27" ht="21.75" customHeight="1" x14ac:dyDescent="0.3">
      <c r="A54" s="9"/>
      <c r="B54" s="146" t="s">
        <v>81</v>
      </c>
      <c r="C54" s="7">
        <v>56</v>
      </c>
      <c r="D54" s="8">
        <v>843970</v>
      </c>
      <c r="E54" s="8">
        <v>115381667.50866343</v>
      </c>
      <c r="F54" s="8">
        <v>0</v>
      </c>
      <c r="G54" s="8">
        <v>14789276.768840004</v>
      </c>
      <c r="H54" s="8">
        <v>34359461.423616</v>
      </c>
      <c r="I54" s="8">
        <v>4842491.5169280004</v>
      </c>
      <c r="J54" s="8">
        <v>0</v>
      </c>
      <c r="K54" s="8">
        <v>0</v>
      </c>
      <c r="L54" s="35">
        <f t="shared" ref="L54:L55" si="28">E54+F54-G54-H54-I54-K54</f>
        <v>61390437.799279429</v>
      </c>
      <c r="M54" s="161">
        <v>98.3</v>
      </c>
      <c r="N54" s="60"/>
      <c r="O54" s="103"/>
      <c r="P54" s="163">
        <f t="shared" si="5"/>
        <v>60346800.356691681</v>
      </c>
      <c r="Q54" s="71">
        <f t="shared" si="6"/>
        <v>1043637.4425877512</v>
      </c>
      <c r="R54" s="96"/>
      <c r="S54" s="109"/>
      <c r="T54" s="137"/>
      <c r="U54" s="234"/>
      <c r="V54" s="97">
        <f t="shared" si="7"/>
        <v>0</v>
      </c>
      <c r="W54" s="232"/>
      <c r="X54" s="97"/>
      <c r="Y54" s="96"/>
      <c r="Z54" s="95"/>
      <c r="AA54" s="97"/>
    </row>
    <row r="55" spans="1:27" ht="21.75" customHeight="1" x14ac:dyDescent="0.3">
      <c r="A55" s="9"/>
      <c r="B55" s="146" t="s">
        <v>82</v>
      </c>
      <c r="C55" s="7">
        <v>8</v>
      </c>
      <c r="D55" s="8">
        <v>470707.8</v>
      </c>
      <c r="E55" s="8">
        <f>'[3]Расчет НМЦК'!$C$15</f>
        <v>98090326.158907861</v>
      </c>
      <c r="F55" s="8">
        <v>0</v>
      </c>
      <c r="G55" s="8">
        <f>'[3]Расчет НМЦК'!$F$15+'[3]Расчет НМЦК'!$J$15</f>
        <v>6056927.6006399998</v>
      </c>
      <c r="H55" s="8">
        <v>0</v>
      </c>
      <c r="I55" s="8">
        <f>'[3]Расчет НМЦК'!$H$15</f>
        <v>1753584.5283840003</v>
      </c>
      <c r="J55" s="8"/>
      <c r="K55" s="8"/>
      <c r="L55" s="35">
        <f t="shared" si="28"/>
        <v>90279814.029883862</v>
      </c>
      <c r="M55" s="161">
        <v>99</v>
      </c>
      <c r="N55" s="60"/>
      <c r="O55" s="103"/>
      <c r="P55" s="163">
        <f t="shared" si="5"/>
        <v>89377015.889585018</v>
      </c>
      <c r="Q55" s="71">
        <f t="shared" si="6"/>
        <v>902798.14029883943</v>
      </c>
      <c r="R55" s="96"/>
      <c r="S55" s="109"/>
      <c r="T55" s="137"/>
      <c r="U55" s="234"/>
      <c r="V55" s="97">
        <f t="shared" si="7"/>
        <v>0</v>
      </c>
      <c r="W55" s="232"/>
      <c r="X55" s="97"/>
      <c r="Y55" s="96"/>
      <c r="Z55" s="95"/>
      <c r="AA55" s="97"/>
    </row>
    <row r="56" spans="1:27" ht="21.95" customHeight="1" x14ac:dyDescent="0.25">
      <c r="A56" s="9">
        <v>25</v>
      </c>
      <c r="B56" s="196" t="s">
        <v>96</v>
      </c>
      <c r="C56" s="89">
        <f>C57+C58</f>
        <v>17</v>
      </c>
      <c r="D56" s="89">
        <f t="shared" ref="D56:K56" si="29">D57+D58</f>
        <v>278620.79999999999</v>
      </c>
      <c r="E56" s="89">
        <f t="shared" si="29"/>
        <v>48781924.223355964</v>
      </c>
      <c r="F56" s="89">
        <f t="shared" si="29"/>
        <v>0</v>
      </c>
      <c r="G56" s="89">
        <f t="shared" si="29"/>
        <v>2533570.4237686102</v>
      </c>
      <c r="H56" s="89">
        <f t="shared" si="29"/>
        <v>13735893.595146241</v>
      </c>
      <c r="I56" s="89">
        <f t="shared" si="29"/>
        <v>422613.73440000007</v>
      </c>
      <c r="J56" s="89">
        <f t="shared" si="29"/>
        <v>0</v>
      </c>
      <c r="K56" s="89">
        <f t="shared" si="29"/>
        <v>0</v>
      </c>
      <c r="L56" s="103">
        <f>L57+L58</f>
        <v>32089846.470041119</v>
      </c>
      <c r="M56" s="161">
        <v>98.7</v>
      </c>
      <c r="N56" s="60">
        <f t="shared" si="11"/>
        <v>31672678.465930585</v>
      </c>
      <c r="O56" s="103">
        <f t="shared" si="12"/>
        <v>48147759.208452336</v>
      </c>
      <c r="P56" s="106">
        <f>P57+P58</f>
        <v>31672678.465930581</v>
      </c>
      <c r="Q56" s="71">
        <f>Q57+Q58</f>
        <v>417168.00411053491</v>
      </c>
      <c r="R56" s="96">
        <v>9907574.8794717807</v>
      </c>
      <c r="S56" s="109">
        <f t="shared" si="9"/>
        <v>10422768.773204314</v>
      </c>
      <c r="T56" s="137">
        <f>P56*$AD$25</f>
        <v>4903245.3915997688</v>
      </c>
      <c r="U56" s="234">
        <v>8306105.831545623</v>
      </c>
      <c r="V56" s="97">
        <f t="shared" si="7"/>
        <v>3402860.4399458542</v>
      </c>
      <c r="W56" s="232">
        <f>T56</f>
        <v>4903245.3915997688</v>
      </c>
      <c r="X56" s="97"/>
      <c r="Y56" s="96" t="e">
        <f>#REF!</f>
        <v>#REF!</v>
      </c>
      <c r="Z56" s="95">
        <f t="shared" si="10"/>
        <v>4903245.3915997688</v>
      </c>
      <c r="AA56" s="97"/>
    </row>
    <row r="57" spans="1:27" ht="21.95" customHeight="1" x14ac:dyDescent="0.25">
      <c r="A57" s="9"/>
      <c r="B57" s="87" t="s">
        <v>95</v>
      </c>
      <c r="C57" s="7">
        <v>10</v>
      </c>
      <c r="D57" s="8">
        <v>242089.5</v>
      </c>
      <c r="E57" s="145">
        <v>37551091.031833157</v>
      </c>
      <c r="F57" s="145">
        <v>0</v>
      </c>
      <c r="G57" s="145">
        <v>2228493.1191204051</v>
      </c>
      <c r="H57" s="145">
        <v>13735893.595146241</v>
      </c>
      <c r="I57" s="145">
        <v>422613.73440000007</v>
      </c>
      <c r="J57" s="145">
        <v>0</v>
      </c>
      <c r="K57" s="145">
        <v>0</v>
      </c>
      <c r="L57" s="35">
        <f t="shared" ref="L57:L58" si="30">E57+F57-G57-H57-I57-K57</f>
        <v>21164090.583166514</v>
      </c>
      <c r="M57" s="161">
        <v>98.7</v>
      </c>
      <c r="N57" s="60"/>
      <c r="O57" s="103"/>
      <c r="P57" s="163">
        <f t="shared" si="5"/>
        <v>20888957.405585349</v>
      </c>
      <c r="Q57" s="71">
        <f t="shared" si="6"/>
        <v>275133.17758116493</v>
      </c>
      <c r="R57" s="96"/>
      <c r="S57" s="109"/>
      <c r="T57" s="137"/>
      <c r="U57" s="234"/>
      <c r="V57" s="97">
        <f t="shared" si="7"/>
        <v>0</v>
      </c>
      <c r="W57" s="232"/>
      <c r="X57" s="97"/>
      <c r="Y57" s="96"/>
      <c r="Z57" s="95"/>
      <c r="AA57" s="97"/>
    </row>
    <row r="58" spans="1:27" ht="21.95" customHeight="1" x14ac:dyDescent="0.25">
      <c r="A58" s="9"/>
      <c r="B58" s="87" t="s">
        <v>80</v>
      </c>
      <c r="C58" s="7">
        <v>7</v>
      </c>
      <c r="D58" s="8">
        <v>36531.300000000003</v>
      </c>
      <c r="E58" s="145">
        <v>11230833.191522811</v>
      </c>
      <c r="F58" s="145">
        <v>0</v>
      </c>
      <c r="G58" s="145">
        <v>305077.30464820511</v>
      </c>
      <c r="H58" s="145">
        <v>0</v>
      </c>
      <c r="I58" s="145">
        <v>0</v>
      </c>
      <c r="J58" s="145">
        <v>0</v>
      </c>
      <c r="K58" s="145">
        <v>0</v>
      </c>
      <c r="L58" s="35">
        <f t="shared" si="30"/>
        <v>10925755.886874605</v>
      </c>
      <c r="M58" s="161">
        <v>98.7</v>
      </c>
      <c r="N58" s="60"/>
      <c r="O58" s="103"/>
      <c r="P58" s="163">
        <f t="shared" si="5"/>
        <v>10783721.060345234</v>
      </c>
      <c r="Q58" s="71">
        <f t="shared" si="6"/>
        <v>142034.82652936998</v>
      </c>
      <c r="R58" s="96"/>
      <c r="S58" s="109"/>
      <c r="T58" s="137"/>
      <c r="U58" s="234"/>
      <c r="V58" s="97">
        <f t="shared" si="7"/>
        <v>0</v>
      </c>
      <c r="W58" s="232"/>
      <c r="X58" s="97"/>
      <c r="Y58" s="96"/>
      <c r="Z58" s="95"/>
      <c r="AA58" s="97"/>
    </row>
    <row r="59" spans="1:27" ht="21.95" customHeight="1" x14ac:dyDescent="0.25">
      <c r="A59" s="9">
        <v>26</v>
      </c>
      <c r="B59" s="196" t="s">
        <v>19</v>
      </c>
      <c r="C59" s="89">
        <v>17</v>
      </c>
      <c r="D59" s="90">
        <v>451121.6</v>
      </c>
      <c r="E59" s="90">
        <v>47163454.277557291</v>
      </c>
      <c r="F59" s="90">
        <v>0</v>
      </c>
      <c r="G59" s="90">
        <v>4164384.6414440647</v>
      </c>
      <c r="H59" s="90">
        <v>26698771.644366845</v>
      </c>
      <c r="I59" s="90">
        <v>530850.60403200006</v>
      </c>
      <c r="J59" s="90">
        <v>0</v>
      </c>
      <c r="K59" s="90">
        <v>0</v>
      </c>
      <c r="L59" s="153">
        <f>E59+F59-G59-H59-I59-K59</f>
        <v>15769447.38771438</v>
      </c>
      <c r="M59" s="161">
        <v>98.8</v>
      </c>
      <c r="N59" s="60">
        <f t="shared" si="11"/>
        <v>15580214.019061806</v>
      </c>
      <c r="O59" s="103">
        <f t="shared" si="12"/>
        <v>46597492.826226607</v>
      </c>
      <c r="P59" s="106">
        <f t="shared" si="5"/>
        <v>15580214.019061808</v>
      </c>
      <c r="Q59" s="71">
        <f t="shared" si="6"/>
        <v>189233.36865257274</v>
      </c>
      <c r="R59" s="96">
        <v>4085524.2923748521</v>
      </c>
      <c r="S59" s="109">
        <f t="shared" si="9"/>
        <v>4297971.5555783445</v>
      </c>
      <c r="T59" s="137">
        <f>P59*$AD$25</f>
        <v>2411971.9672991158</v>
      </c>
      <c r="U59" s="234">
        <v>4085884.515882099</v>
      </c>
      <c r="V59" s="97">
        <f t="shared" si="7"/>
        <v>1673912.5485829832</v>
      </c>
      <c r="W59" s="232">
        <f>T59</f>
        <v>2411971.9672991158</v>
      </c>
      <c r="X59" s="97"/>
      <c r="Y59" s="96" t="e">
        <f>#REF!</f>
        <v>#REF!</v>
      </c>
      <c r="Z59" s="95">
        <f t="shared" si="10"/>
        <v>2411971.9672991158</v>
      </c>
      <c r="AA59" s="97"/>
    </row>
    <row r="60" spans="1:27" ht="21.75" customHeight="1" x14ac:dyDescent="0.25">
      <c r="A60" s="9">
        <v>27</v>
      </c>
      <c r="B60" s="196" t="s">
        <v>98</v>
      </c>
      <c r="C60" s="89">
        <f>C61+C62</f>
        <v>24</v>
      </c>
      <c r="D60" s="89">
        <f t="shared" ref="D60:L60" si="31">D61+D62</f>
        <v>776804</v>
      </c>
      <c r="E60" s="89">
        <f t="shared" si="31"/>
        <v>85296570.683627278</v>
      </c>
      <c r="F60" s="89">
        <f t="shared" si="31"/>
        <v>0</v>
      </c>
      <c r="G60" s="89">
        <f t="shared" si="31"/>
        <v>6612207.7794937966</v>
      </c>
      <c r="H60" s="89">
        <f t="shared" si="31"/>
        <v>43528068.056671359</v>
      </c>
      <c r="I60" s="89">
        <f t="shared" si="31"/>
        <v>1624559.04</v>
      </c>
      <c r="J60" s="89">
        <f t="shared" si="31"/>
        <v>0</v>
      </c>
      <c r="K60" s="89">
        <f t="shared" si="31"/>
        <v>0</v>
      </c>
      <c r="L60" s="103">
        <f t="shared" si="31"/>
        <v>33531735.80746213</v>
      </c>
      <c r="M60" s="161">
        <v>98.6</v>
      </c>
      <c r="N60" s="60">
        <f t="shared" si="11"/>
        <v>33062291.506157655</v>
      </c>
      <c r="O60" s="103">
        <f t="shared" si="12"/>
        <v>84102418.694056496</v>
      </c>
      <c r="P60" s="106">
        <f>P61+P62</f>
        <v>33062291.506157659</v>
      </c>
      <c r="Q60" s="71">
        <f>Q61+Q62</f>
        <v>469444.30130447022</v>
      </c>
      <c r="R60" s="96">
        <v>8692238.6158419903</v>
      </c>
      <c r="S60" s="109">
        <f t="shared" si="9"/>
        <v>9144235.0238657743</v>
      </c>
      <c r="T60" s="137">
        <f>P60*$AD$25</f>
        <v>5118371.3002888486</v>
      </c>
      <c r="U60" s="234">
        <v>8670529.4779207688</v>
      </c>
      <c r="V60" s="97">
        <f t="shared" si="7"/>
        <v>3552158.1776319202</v>
      </c>
      <c r="W60" s="232">
        <f>T60</f>
        <v>5118371.3002888486</v>
      </c>
      <c r="X60" s="97"/>
      <c r="Y60" s="96" t="e">
        <f>#REF!</f>
        <v>#REF!</v>
      </c>
      <c r="Z60" s="95">
        <f t="shared" si="10"/>
        <v>5118371.3002888486</v>
      </c>
      <c r="AA60" s="97"/>
    </row>
    <row r="61" spans="1:27" ht="21.75" customHeight="1" x14ac:dyDescent="0.25">
      <c r="A61" s="9"/>
      <c r="B61" s="87" t="s">
        <v>97</v>
      </c>
      <c r="C61" s="7">
        <v>23</v>
      </c>
      <c r="D61" s="8">
        <v>761144</v>
      </c>
      <c r="E61" s="145">
        <v>83456608.646072254</v>
      </c>
      <c r="F61" s="145">
        <v>0</v>
      </c>
      <c r="G61" s="145">
        <v>6369724.5794937965</v>
      </c>
      <c r="H61" s="145">
        <v>43528068.056671359</v>
      </c>
      <c r="I61" s="145">
        <v>1624559.04</v>
      </c>
      <c r="J61" s="7">
        <v>0</v>
      </c>
      <c r="K61" s="8">
        <v>0</v>
      </c>
      <c r="L61" s="158">
        <f>E61+F61-G61-H61-I61-J61-K61</f>
        <v>31934256.969907105</v>
      </c>
      <c r="M61" s="161">
        <v>98.6</v>
      </c>
      <c r="N61" s="60"/>
      <c r="O61" s="103"/>
      <c r="P61" s="163">
        <f t="shared" si="5"/>
        <v>31487177.372328404</v>
      </c>
      <c r="Q61" s="71">
        <f t="shared" si="6"/>
        <v>447079.59757869988</v>
      </c>
      <c r="R61" s="96"/>
      <c r="S61" s="109"/>
      <c r="T61" s="137"/>
      <c r="U61" s="234"/>
      <c r="V61" s="97">
        <f t="shared" si="7"/>
        <v>0</v>
      </c>
      <c r="W61" s="232"/>
      <c r="X61" s="97"/>
      <c r="Y61" s="96"/>
      <c r="Z61" s="95"/>
      <c r="AA61" s="97"/>
    </row>
    <row r="62" spans="1:27" ht="21.75" customHeight="1" x14ac:dyDescent="0.25">
      <c r="A62" s="9"/>
      <c r="B62" s="87" t="s">
        <v>79</v>
      </c>
      <c r="C62" s="7">
        <v>1</v>
      </c>
      <c r="D62" s="8">
        <v>15660</v>
      </c>
      <c r="E62" s="8">
        <v>1839962.0375550231</v>
      </c>
      <c r="F62" s="8">
        <v>0</v>
      </c>
      <c r="G62" s="8">
        <v>242483.20000000001</v>
      </c>
      <c r="H62" s="8">
        <v>0</v>
      </c>
      <c r="I62" s="8">
        <v>0</v>
      </c>
      <c r="J62" s="8">
        <v>0</v>
      </c>
      <c r="K62" s="8">
        <v>0</v>
      </c>
      <c r="L62" s="158">
        <f>E62+F62-G62-H62-I62-J62-K62</f>
        <v>1597478.8375550231</v>
      </c>
      <c r="M62" s="161">
        <v>98.6</v>
      </c>
      <c r="N62" s="60"/>
      <c r="O62" s="103"/>
      <c r="P62" s="163">
        <f t="shared" si="5"/>
        <v>1575114.1338292528</v>
      </c>
      <c r="Q62" s="71">
        <f t="shared" si="6"/>
        <v>22364.703725770345</v>
      </c>
      <c r="R62" s="96"/>
      <c r="S62" s="109"/>
      <c r="T62" s="137"/>
      <c r="U62" s="234"/>
      <c r="V62" s="97">
        <f t="shared" si="7"/>
        <v>0</v>
      </c>
      <c r="W62" s="232"/>
      <c r="X62" s="97"/>
      <c r="Y62" s="96"/>
      <c r="Z62" s="95"/>
      <c r="AA62" s="97"/>
    </row>
    <row r="63" spans="1:27" ht="21.75" customHeight="1" x14ac:dyDescent="0.25">
      <c r="A63" s="9"/>
      <c r="B63" s="196" t="s">
        <v>86</v>
      </c>
      <c r="C63" s="89">
        <v>39</v>
      </c>
      <c r="D63" s="90">
        <v>1545195.2</v>
      </c>
      <c r="E63" s="90">
        <f>'[4]Расчет НМЦК'!$C$46</f>
        <v>241827860.67279804</v>
      </c>
      <c r="F63" s="90">
        <v>0</v>
      </c>
      <c r="G63" s="90">
        <f>'[4]Расчет НМЦК'!$F$46+'[4]Расчет НМЦК'!$J$46</f>
        <v>34771466.844373949</v>
      </c>
      <c r="H63" s="90">
        <f>'[4]Расчет НМЦК'!$G$46</f>
        <v>57126048.507813878</v>
      </c>
      <c r="I63" s="90">
        <v>11865010.950144002</v>
      </c>
      <c r="J63" s="90">
        <v>0</v>
      </c>
      <c r="K63" s="90">
        <v>0</v>
      </c>
      <c r="L63" s="103">
        <f>E63+F63-G63-H63-I63-J63-K63</f>
        <v>138065334.37046623</v>
      </c>
      <c r="M63" s="161">
        <v>98.3</v>
      </c>
      <c r="N63" s="60"/>
      <c r="O63" s="103"/>
      <c r="P63" s="106">
        <f t="shared" si="5"/>
        <v>135718223.68616831</v>
      </c>
      <c r="Q63" s="71">
        <f t="shared" si="6"/>
        <v>2347110.6842979281</v>
      </c>
      <c r="R63" s="96">
        <v>40477286.379773289</v>
      </c>
      <c r="S63" s="109">
        <f t="shared" si="9"/>
        <v>42582105.271521501</v>
      </c>
      <c r="T63" s="137">
        <f>P63*$AD$25</f>
        <v>21010529.80287499</v>
      </c>
      <c r="U63" s="234">
        <v>35591872.358357392</v>
      </c>
      <c r="V63" s="97">
        <f t="shared" si="7"/>
        <v>14581342.555482402</v>
      </c>
      <c r="W63" s="232">
        <f>T63</f>
        <v>21010529.80287499</v>
      </c>
      <c r="X63" s="97"/>
      <c r="Y63" s="96" t="e">
        <f>#REF!</f>
        <v>#REF!</v>
      </c>
      <c r="Z63" s="95">
        <f t="shared" si="10"/>
        <v>21010529.80287499</v>
      </c>
      <c r="AA63" s="97"/>
    </row>
    <row r="64" spans="1:27" ht="21.95" customHeight="1" x14ac:dyDescent="0.3">
      <c r="A64" s="9">
        <v>28</v>
      </c>
      <c r="B64" s="192" t="s">
        <v>20</v>
      </c>
      <c r="C64" s="89">
        <v>17</v>
      </c>
      <c r="D64" s="90">
        <v>476643.80000000005</v>
      </c>
      <c r="E64" s="90">
        <v>49910241.343260504</v>
      </c>
      <c r="F64" s="90">
        <v>0</v>
      </c>
      <c r="G64" s="90">
        <v>4747751.3172720941</v>
      </c>
      <c r="H64" s="90">
        <v>26383240.123293702</v>
      </c>
      <c r="I64" s="90">
        <v>702215.89401600009</v>
      </c>
      <c r="J64" s="90">
        <v>0</v>
      </c>
      <c r="K64" s="90">
        <v>0</v>
      </c>
      <c r="L64" s="153">
        <f>E64+F64-G64-H64-I64-K64-J64</f>
        <v>18077034.008678705</v>
      </c>
      <c r="M64" s="161">
        <v>98.9</v>
      </c>
      <c r="N64" s="60">
        <f t="shared" si="11"/>
        <v>17878186.634583239</v>
      </c>
      <c r="O64" s="103">
        <f t="shared" si="12"/>
        <v>49361228.688484639</v>
      </c>
      <c r="P64" s="106">
        <f t="shared" si="5"/>
        <v>17878186.634583242</v>
      </c>
      <c r="Q64" s="71">
        <f t="shared" si="6"/>
        <v>198847.37409546392</v>
      </c>
      <c r="R64" s="96">
        <v>4642098.6638497999</v>
      </c>
      <c r="S64" s="109">
        <f t="shared" si="9"/>
        <v>4883487.79436999</v>
      </c>
      <c r="T64" s="137">
        <f>P64*$AD$25</f>
        <v>2767720.9655784401</v>
      </c>
      <c r="U64" s="234">
        <v>4688523.9094226966</v>
      </c>
      <c r="V64" s="97">
        <f t="shared" si="7"/>
        <v>1920802.9438442565</v>
      </c>
      <c r="W64" s="232">
        <f>T64</f>
        <v>2767720.9655784401</v>
      </c>
      <c r="X64" s="97"/>
      <c r="Y64" s="96" t="e">
        <f>#REF!</f>
        <v>#REF!</v>
      </c>
      <c r="Z64" s="95">
        <f t="shared" si="10"/>
        <v>2767720.9655784401</v>
      </c>
      <c r="AA64" s="97"/>
    </row>
    <row r="65" spans="1:29" ht="21.95" customHeight="1" x14ac:dyDescent="0.3">
      <c r="A65" s="9"/>
      <c r="B65" s="192" t="s">
        <v>66</v>
      </c>
      <c r="C65" s="89">
        <f>C66+C67</f>
        <v>25</v>
      </c>
      <c r="D65" s="89">
        <f t="shared" ref="D65:L65" si="32">D66+D67</f>
        <v>473137</v>
      </c>
      <c r="E65" s="89">
        <f t="shared" si="32"/>
        <v>52152496.365386344</v>
      </c>
      <c r="F65" s="89">
        <f t="shared" si="32"/>
        <v>0</v>
      </c>
      <c r="G65" s="89">
        <f t="shared" si="32"/>
        <v>6327505.0962408483</v>
      </c>
      <c r="H65" s="89">
        <f t="shared" si="32"/>
        <v>19255275.230945278</v>
      </c>
      <c r="I65" s="89">
        <f t="shared" si="32"/>
        <v>1256936.2882560005</v>
      </c>
      <c r="J65" s="89">
        <f t="shared" si="32"/>
        <v>0</v>
      </c>
      <c r="K65" s="89">
        <f t="shared" si="32"/>
        <v>0</v>
      </c>
      <c r="L65" s="103">
        <f t="shared" si="32"/>
        <v>25312779.749944221</v>
      </c>
      <c r="M65" s="161"/>
      <c r="N65" s="60"/>
      <c r="O65" s="103"/>
      <c r="P65" s="106">
        <f>P66+P67</f>
        <v>25004251.140003808</v>
      </c>
      <c r="Q65" s="71">
        <f>Q66+Q67</f>
        <v>308528.6099404149</v>
      </c>
      <c r="R65" s="96">
        <v>8014975.0638466822</v>
      </c>
      <c r="S65" s="109">
        <f t="shared" si="9"/>
        <v>8431753.7671667095</v>
      </c>
      <c r="T65" s="137">
        <f>P65*$AD$25</f>
        <v>3870906.5702954829</v>
      </c>
      <c r="U65" s="234">
        <v>6557322.1548288409</v>
      </c>
      <c r="V65" s="97">
        <f t="shared" si="7"/>
        <v>2686415.584533358</v>
      </c>
      <c r="W65" s="232">
        <f>T65</f>
        <v>3870906.5702954829</v>
      </c>
      <c r="X65" s="97"/>
      <c r="Y65" s="96" t="e">
        <f>#REF!</f>
        <v>#REF!</v>
      </c>
      <c r="Z65" s="95">
        <f t="shared" si="10"/>
        <v>3870906.5702954829</v>
      </c>
      <c r="AA65" s="97"/>
    </row>
    <row r="66" spans="1:29" s="15" customFormat="1" ht="21.95" customHeight="1" x14ac:dyDescent="0.25">
      <c r="A66" s="9">
        <v>29</v>
      </c>
      <c r="B66" s="87" t="s">
        <v>21</v>
      </c>
      <c r="C66" s="7">
        <v>22</v>
      </c>
      <c r="D66" s="8">
        <v>375598</v>
      </c>
      <c r="E66" s="8">
        <v>38449281.663535394</v>
      </c>
      <c r="F66" s="8">
        <v>0</v>
      </c>
      <c r="G66" s="8">
        <v>4086867.0340910209</v>
      </c>
      <c r="H66" s="8">
        <v>19255275.230945278</v>
      </c>
      <c r="I66" s="8">
        <v>1256936.2882560005</v>
      </c>
      <c r="J66" s="8">
        <v>0</v>
      </c>
      <c r="K66" s="8">
        <v>0</v>
      </c>
      <c r="L66" s="35">
        <f>E66+F66-G66-H66-I66-K66-J66</f>
        <v>13850203.110243097</v>
      </c>
      <c r="M66" s="161">
        <v>98.6</v>
      </c>
      <c r="N66" s="60">
        <f t="shared" si="11"/>
        <v>13656300.266699694</v>
      </c>
      <c r="O66" s="103">
        <f t="shared" si="12"/>
        <v>37910991.720245898</v>
      </c>
      <c r="P66" s="163">
        <f t="shared" si="5"/>
        <v>13656300.266699694</v>
      </c>
      <c r="Q66" s="71">
        <f t="shared" si="6"/>
        <v>193902.84354340352</v>
      </c>
      <c r="R66" s="96"/>
      <c r="S66" s="109">
        <f t="shared" si="9"/>
        <v>0</v>
      </c>
      <c r="T66" s="137"/>
      <c r="U66" s="234"/>
      <c r="V66" s="97">
        <f t="shared" si="7"/>
        <v>0</v>
      </c>
      <c r="W66" s="232">
        <f>T66</f>
        <v>0</v>
      </c>
      <c r="X66" s="97"/>
      <c r="Y66" s="96" t="e">
        <f>#REF!</f>
        <v>#REF!</v>
      </c>
      <c r="Z66" s="95">
        <f t="shared" si="10"/>
        <v>0</v>
      </c>
      <c r="AA66" s="97"/>
    </row>
    <row r="67" spans="1:29" s="15" customFormat="1" ht="21.95" customHeight="1" thickBot="1" x14ac:dyDescent="0.3">
      <c r="A67" s="9"/>
      <c r="B67" s="88" t="s">
        <v>38</v>
      </c>
      <c r="C67" s="33">
        <v>3</v>
      </c>
      <c r="D67" s="34">
        <v>97539</v>
      </c>
      <c r="E67" s="34">
        <v>13703214.701850951</v>
      </c>
      <c r="F67" s="34">
        <v>0</v>
      </c>
      <c r="G67" s="34">
        <v>2240638.0621498274</v>
      </c>
      <c r="H67" s="34">
        <v>0</v>
      </c>
      <c r="I67" s="34">
        <v>0</v>
      </c>
      <c r="J67" s="34">
        <v>0</v>
      </c>
      <c r="K67" s="34">
        <v>0</v>
      </c>
      <c r="L67" s="36">
        <f t="shared" ref="L67" si="33">E67+F67-G67-H67-I67-K67</f>
        <v>11462576.639701124</v>
      </c>
      <c r="M67" s="162">
        <v>99</v>
      </c>
      <c r="N67" s="61">
        <f t="shared" si="11"/>
        <v>11347950.873304112</v>
      </c>
      <c r="O67" s="104">
        <f t="shared" si="12"/>
        <v>13566182.554832442</v>
      </c>
      <c r="P67" s="164">
        <f t="shared" si="5"/>
        <v>11347950.873304114</v>
      </c>
      <c r="Q67" s="172">
        <f t="shared" si="6"/>
        <v>114625.76639701135</v>
      </c>
      <c r="R67" s="115"/>
      <c r="S67" s="47">
        <f t="shared" si="9"/>
        <v>0</v>
      </c>
      <c r="T67" s="175"/>
      <c r="U67" s="237"/>
      <c r="V67" s="79">
        <f t="shared" si="7"/>
        <v>0</v>
      </c>
      <c r="W67" s="233">
        <f>T67</f>
        <v>0</v>
      </c>
      <c r="X67" s="79"/>
      <c r="Y67" s="201" t="e">
        <f>#REF!</f>
        <v>#REF!</v>
      </c>
      <c r="Z67" s="138">
        <f t="shared" si="10"/>
        <v>0</v>
      </c>
      <c r="AA67" s="79"/>
    </row>
    <row r="68" spans="1:29" s="15" customFormat="1" ht="31.5" customHeight="1" thickBot="1" x14ac:dyDescent="0.3">
      <c r="A68" s="9"/>
      <c r="B68" s="31" t="s">
        <v>22</v>
      </c>
      <c r="C68" s="32">
        <f>SUM(C69:C74)</f>
        <v>100</v>
      </c>
      <c r="D68" s="32">
        <f t="shared" ref="D68:K68" si="34">SUM(D69:D72)</f>
        <v>31200095.290000007</v>
      </c>
      <c r="E68" s="32">
        <f t="shared" si="34"/>
        <v>8173287597.5550575</v>
      </c>
      <c r="F68" s="32">
        <f t="shared" si="34"/>
        <v>0</v>
      </c>
      <c r="G68" s="32">
        <f t="shared" si="34"/>
        <v>2549812280.7427354</v>
      </c>
      <c r="H68" s="32">
        <f t="shared" si="34"/>
        <v>0</v>
      </c>
      <c r="I68" s="32">
        <f t="shared" si="34"/>
        <v>3022247765.1573915</v>
      </c>
      <c r="J68" s="32">
        <f t="shared" si="34"/>
        <v>365886.18651999999</v>
      </c>
      <c r="K68" s="32">
        <f t="shared" si="34"/>
        <v>105567.57219000001</v>
      </c>
      <c r="L68" s="51">
        <f>SUM(L69:L72)</f>
        <v>2600756097.8962202</v>
      </c>
      <c r="M68" s="52"/>
      <c r="N68" s="62">
        <f>SUM(N69:N74)</f>
        <v>4384837183.8456726</v>
      </c>
      <c r="O68" s="62">
        <f>SUM(O69:O74)</f>
        <v>7797487238.1183872</v>
      </c>
      <c r="P68" s="168">
        <f>P69+P70+P71+P72</f>
        <v>2493195220.0500154</v>
      </c>
      <c r="Q68" s="169">
        <f>Q69+Q70+Q71+Q72</f>
        <v>107560877.84620474</v>
      </c>
      <c r="R68" s="199">
        <f>SUM(R69:R74)</f>
        <v>547845650.32420754</v>
      </c>
      <c r="S68" s="101">
        <f t="shared" ref="S68:AA68" si="35">SUM(S69:S74)</f>
        <v>576333624.14106631</v>
      </c>
      <c r="T68" s="168">
        <f>SUM(T69:T74)</f>
        <v>342492517.62798798</v>
      </c>
      <c r="U68" s="168">
        <f>SUM(U69:U74)</f>
        <v>580182893.31475091</v>
      </c>
      <c r="V68" s="51">
        <f>SUM(V69:V74)</f>
        <v>237690375.68676296</v>
      </c>
      <c r="W68" s="19">
        <f t="shared" si="35"/>
        <v>342492517.62798798</v>
      </c>
      <c r="X68" s="20">
        <f t="shared" si="35"/>
        <v>0</v>
      </c>
      <c r="Y68" s="19" t="e">
        <f t="shared" si="35"/>
        <v>#REF!</v>
      </c>
      <c r="Z68" s="112">
        <f t="shared" si="35"/>
        <v>342492517.62798798</v>
      </c>
      <c r="AA68" s="20">
        <f t="shared" si="35"/>
        <v>0</v>
      </c>
    </row>
    <row r="69" spans="1:29" ht="24.75" customHeight="1" x14ac:dyDescent="0.25">
      <c r="A69" s="6">
        <v>31</v>
      </c>
      <c r="B69" s="85" t="s">
        <v>23</v>
      </c>
      <c r="C69" s="91">
        <v>19</v>
      </c>
      <c r="D69" s="92">
        <v>1470137.67</v>
      </c>
      <c r="E69" s="92">
        <v>355368071.26168418</v>
      </c>
      <c r="F69" s="92">
        <v>0</v>
      </c>
      <c r="G69" s="92">
        <v>85429921.796057045</v>
      </c>
      <c r="H69" s="92">
        <v>0</v>
      </c>
      <c r="I69" s="92">
        <v>54974741.594112009</v>
      </c>
      <c r="J69" s="90">
        <v>0</v>
      </c>
      <c r="K69" s="90">
        <v>0</v>
      </c>
      <c r="L69" s="93">
        <f>E69+F69-G69-H69-I69-J69-K69</f>
        <v>214963407.87151513</v>
      </c>
      <c r="M69" s="57">
        <v>98.7</v>
      </c>
      <c r="N69" s="59">
        <f>L69*M69/100</f>
        <v>212168883.56918544</v>
      </c>
      <c r="O69" s="107">
        <f>(E69+F69)*M69/100</f>
        <v>350748286.33528227</v>
      </c>
      <c r="P69" s="29">
        <f>L69*(M69/100)</f>
        <v>212168883.56918544</v>
      </c>
      <c r="Q69" s="5">
        <f t="shared" ref="Q69:Q74" si="36">L69*(1-M69/100)</f>
        <v>2794524.302329699</v>
      </c>
      <c r="R69" s="26">
        <v>55160465.204218686</v>
      </c>
      <c r="S69" s="127">
        <f>R69*1.052</f>
        <v>58028809.394838057</v>
      </c>
      <c r="T69" s="143">
        <f>P69*AD25</f>
        <v>32845851.724239726</v>
      </c>
      <c r="U69" s="226">
        <v>55640927.336858787</v>
      </c>
      <c r="V69" s="204">
        <f>U69-T69</f>
        <v>22795075.612619061</v>
      </c>
      <c r="W69" s="207">
        <f>T69</f>
        <v>32845851.724239726</v>
      </c>
      <c r="X69" s="75"/>
      <c r="Y69" s="26" t="e">
        <f>#REF!</f>
        <v>#REF!</v>
      </c>
      <c r="Z69" s="24">
        <f>W69</f>
        <v>32845851.724239726</v>
      </c>
      <c r="AA69" s="75"/>
    </row>
    <row r="70" spans="1:29" ht="21.95" customHeight="1" x14ac:dyDescent="0.25">
      <c r="A70" s="6">
        <v>35</v>
      </c>
      <c r="B70" s="83" t="s">
        <v>24</v>
      </c>
      <c r="C70" s="89">
        <v>19</v>
      </c>
      <c r="D70" s="90">
        <v>2333284.4000000004</v>
      </c>
      <c r="E70" s="90">
        <v>492885045.1099931</v>
      </c>
      <c r="F70" s="90">
        <v>0</v>
      </c>
      <c r="G70" s="90">
        <v>80212087.70577763</v>
      </c>
      <c r="H70" s="90">
        <v>0</v>
      </c>
      <c r="I70" s="90">
        <v>49590933.470208012</v>
      </c>
      <c r="J70" s="92">
        <v>0</v>
      </c>
      <c r="K70" s="92">
        <v>0</v>
      </c>
      <c r="L70" s="94">
        <f>E70+F70-G70-H70-I70-J70-K70</f>
        <v>363082023.93400747</v>
      </c>
      <c r="M70" s="58">
        <v>99</v>
      </c>
      <c r="N70" s="60">
        <f t="shared" ref="N70:N74" si="37">L70*M70/100</f>
        <v>359451203.69466734</v>
      </c>
      <c r="O70" s="103">
        <f t="shared" ref="O70:O74" si="38">(E70+F70)*M70/100</f>
        <v>487956194.65889323</v>
      </c>
      <c r="P70" s="106">
        <f>L70*(M70/100)</f>
        <v>359451203.6946674</v>
      </c>
      <c r="Q70" s="113">
        <f t="shared" si="36"/>
        <v>3630820.2393400781</v>
      </c>
      <c r="R70" s="96">
        <v>64645712.4561546</v>
      </c>
      <c r="S70" s="128">
        <f t="shared" ref="S70:S72" si="39">R70*1.052</f>
        <v>68007289.503874645</v>
      </c>
      <c r="T70" s="125">
        <f>P70*AD25</f>
        <v>55646618.580639325</v>
      </c>
      <c r="U70" s="227">
        <v>94265464.235237956</v>
      </c>
      <c r="V70" s="99">
        <f>U70-T70</f>
        <v>38618845.654598631</v>
      </c>
      <c r="W70" s="125">
        <f>T70</f>
        <v>55646618.580639325</v>
      </c>
      <c r="X70" s="97"/>
      <c r="Y70" s="96" t="e">
        <f>#REF!</f>
        <v>#REF!</v>
      </c>
      <c r="Z70" s="95">
        <f t="shared" ref="Z70:Z74" si="40">W70</f>
        <v>55646618.580639325</v>
      </c>
      <c r="AA70" s="97"/>
    </row>
    <row r="71" spans="1:29" s="15" customFormat="1" ht="21.95" customHeight="1" x14ac:dyDescent="0.3">
      <c r="A71" s="16"/>
      <c r="B71" s="192" t="s">
        <v>25</v>
      </c>
      <c r="C71" s="89">
        <v>4</v>
      </c>
      <c r="D71" s="89">
        <v>238532.78</v>
      </c>
      <c r="E71" s="89">
        <v>34556709.730846964</v>
      </c>
      <c r="F71" s="89">
        <v>0</v>
      </c>
      <c r="G71" s="89">
        <v>2335753.2794006597</v>
      </c>
      <c r="H71" s="89">
        <v>0</v>
      </c>
      <c r="I71" s="89">
        <v>712357.51407206408</v>
      </c>
      <c r="J71" s="92">
        <v>0</v>
      </c>
      <c r="K71" s="92">
        <v>0</v>
      </c>
      <c r="L71" s="94">
        <f>E71+F71-G71-H71-I71-J71-K71</f>
        <v>31508598.937374238</v>
      </c>
      <c r="M71" s="58">
        <v>95</v>
      </c>
      <c r="N71" s="60">
        <f t="shared" si="37"/>
        <v>29933168.990505524</v>
      </c>
      <c r="O71" s="103">
        <f t="shared" si="38"/>
        <v>32828874.244304612</v>
      </c>
      <c r="P71" s="106">
        <f>L71*(M71/100)</f>
        <v>29933168.990505524</v>
      </c>
      <c r="Q71" s="113">
        <f t="shared" si="36"/>
        <v>1575429.9468687132</v>
      </c>
      <c r="R71" s="96">
        <v>5612893.3638342414</v>
      </c>
      <c r="S71" s="128">
        <f t="shared" si="39"/>
        <v>5904763.8187536225</v>
      </c>
      <c r="T71" s="125">
        <f>P71*AD25</f>
        <v>4633952.0374492286</v>
      </c>
      <c r="U71" s="227">
        <v>7849922.4426541897</v>
      </c>
      <c r="V71" s="99">
        <f>U71-T71</f>
        <v>3215970.4052049611</v>
      </c>
      <c r="W71" s="125">
        <f>T71</f>
        <v>4633952.0374492286</v>
      </c>
      <c r="X71" s="97"/>
      <c r="Y71" s="96" t="e">
        <f>#REF!</f>
        <v>#REF!</v>
      </c>
      <c r="Z71" s="95">
        <f t="shared" si="40"/>
        <v>4633952.0374492286</v>
      </c>
      <c r="AA71" s="97"/>
    </row>
    <row r="72" spans="1:29" s="15" customFormat="1" ht="21.95" customHeight="1" x14ac:dyDescent="0.3">
      <c r="A72" s="16"/>
      <c r="B72" s="84" t="s">
        <v>62</v>
      </c>
      <c r="C72" s="89">
        <f>C73+C74</f>
        <v>29</v>
      </c>
      <c r="D72" s="89">
        <f t="shared" ref="D72:K72" si="41">D73+D74</f>
        <v>27158140.440000005</v>
      </c>
      <c r="E72" s="89">
        <f t="shared" si="41"/>
        <v>7290477771.4525328</v>
      </c>
      <c r="F72" s="89">
        <f t="shared" si="41"/>
        <v>0</v>
      </c>
      <c r="G72" s="89">
        <f t="shared" si="41"/>
        <v>2381834517.9615002</v>
      </c>
      <c r="H72" s="89">
        <f t="shared" si="41"/>
        <v>0</v>
      </c>
      <c r="I72" s="89">
        <f t="shared" si="41"/>
        <v>2916969732.5789995</v>
      </c>
      <c r="J72" s="89">
        <f t="shared" si="41"/>
        <v>365886.18651999999</v>
      </c>
      <c r="K72" s="89">
        <f t="shared" si="41"/>
        <v>105567.57219000001</v>
      </c>
      <c r="L72" s="89">
        <f>L73+L74</f>
        <v>1991202067.1533232</v>
      </c>
      <c r="M72" s="58">
        <v>95</v>
      </c>
      <c r="N72" s="60">
        <f t="shared" si="37"/>
        <v>1891641963.7956572</v>
      </c>
      <c r="O72" s="103"/>
      <c r="P72" s="106">
        <f>L72*M72/100</f>
        <v>1891641963.7956572</v>
      </c>
      <c r="Q72" s="113">
        <f>L72*(1-M72/100)</f>
        <v>99560103.357666254</v>
      </c>
      <c r="R72" s="96">
        <v>422426579.30000001</v>
      </c>
      <c r="S72" s="128">
        <f t="shared" si="39"/>
        <v>444392761.42360002</v>
      </c>
      <c r="T72" s="137">
        <f>U72*U95</f>
        <v>249366095.2856597</v>
      </c>
      <c r="U72" s="228">
        <v>422426579.30000001</v>
      </c>
      <c r="V72" s="99">
        <f>U72-T72</f>
        <v>173060484.01434031</v>
      </c>
      <c r="W72" s="125">
        <f>T72</f>
        <v>249366095.2856597</v>
      </c>
      <c r="X72" s="97"/>
      <c r="Y72" s="96" t="e">
        <f>#REF!</f>
        <v>#REF!</v>
      </c>
      <c r="Z72" s="95">
        <f t="shared" si="40"/>
        <v>249366095.2856597</v>
      </c>
      <c r="AA72" s="97"/>
      <c r="AC72" s="117"/>
    </row>
    <row r="73" spans="1:29" ht="21.95" customHeight="1" x14ac:dyDescent="0.25">
      <c r="A73" s="17"/>
      <c r="B73" s="25" t="s">
        <v>26</v>
      </c>
      <c r="C73" s="7">
        <v>15</v>
      </c>
      <c r="D73" s="8">
        <v>11530752.150000002</v>
      </c>
      <c r="E73" s="8">
        <v>2595023485.7825317</v>
      </c>
      <c r="F73" s="8"/>
      <c r="G73" s="8">
        <v>547449576.64249992</v>
      </c>
      <c r="H73" s="8">
        <v>0</v>
      </c>
      <c r="I73" s="8">
        <v>1238481518.6344998</v>
      </c>
      <c r="J73" s="8">
        <v>365886.18651999999</v>
      </c>
      <c r="K73" s="8">
        <v>105567.57219000001</v>
      </c>
      <c r="L73" s="35">
        <f>E73+F73-G73-H73-I73-J73-K73</f>
        <v>808620936.746822</v>
      </c>
      <c r="M73" s="58">
        <v>95</v>
      </c>
      <c r="N73" s="60">
        <f t="shared" si="37"/>
        <v>768189889.90948093</v>
      </c>
      <c r="O73" s="103">
        <f t="shared" si="38"/>
        <v>2465272311.4934053</v>
      </c>
      <c r="P73" s="163">
        <f>L73*(M73/100)</f>
        <v>768189889.90948081</v>
      </c>
      <c r="Q73" s="113">
        <f t="shared" si="36"/>
        <v>40431046.837341137</v>
      </c>
      <c r="R73" s="96">
        <v>0</v>
      </c>
      <c r="S73" s="128">
        <v>0</v>
      </c>
      <c r="T73" s="125">
        <v>0</v>
      </c>
      <c r="U73" s="227">
        <v>0</v>
      </c>
      <c r="V73" s="205"/>
      <c r="W73" s="125">
        <v>0</v>
      </c>
      <c r="X73" s="135"/>
      <c r="Y73" s="96" t="e">
        <f>#REF!</f>
        <v>#REF!</v>
      </c>
      <c r="Z73" s="95">
        <f t="shared" si="40"/>
        <v>0</v>
      </c>
      <c r="AA73" s="135"/>
    </row>
    <row r="74" spans="1:29" ht="21.95" customHeight="1" thickBot="1" x14ac:dyDescent="0.3">
      <c r="A74" s="17"/>
      <c r="B74" s="25" t="s">
        <v>27</v>
      </c>
      <c r="C74" s="7">
        <v>14</v>
      </c>
      <c r="D74" s="8">
        <v>15627388.290000001</v>
      </c>
      <c r="E74" s="8">
        <v>4695454285.670001</v>
      </c>
      <c r="F74" s="8"/>
      <c r="G74" s="8">
        <v>1834384941.3190002</v>
      </c>
      <c r="H74" s="8">
        <v>0</v>
      </c>
      <c r="I74" s="8">
        <v>1678488213.9444997</v>
      </c>
      <c r="J74" s="8">
        <v>0</v>
      </c>
      <c r="K74" s="8">
        <v>0</v>
      </c>
      <c r="L74" s="35">
        <f>E74+F74-G74-H74-I74-J74-K74</f>
        <v>1182581130.4065011</v>
      </c>
      <c r="M74" s="58">
        <v>95</v>
      </c>
      <c r="N74" s="63">
        <f t="shared" si="37"/>
        <v>1123452073.8861761</v>
      </c>
      <c r="O74" s="108">
        <f t="shared" si="38"/>
        <v>4460681571.3865013</v>
      </c>
      <c r="P74" s="164">
        <f>L74*(M74/100)</f>
        <v>1123452073.8861759</v>
      </c>
      <c r="Q74" s="114">
        <f t="shared" si="36"/>
        <v>59129056.520325102</v>
      </c>
      <c r="R74" s="115">
        <v>0</v>
      </c>
      <c r="S74" s="129">
        <v>0</v>
      </c>
      <c r="T74" s="140">
        <v>0</v>
      </c>
      <c r="U74" s="124">
        <v>0</v>
      </c>
      <c r="V74" s="206"/>
      <c r="W74" s="140">
        <v>0</v>
      </c>
      <c r="X74" s="208"/>
      <c r="Y74" s="115" t="e">
        <f>#REF!</f>
        <v>#REF!</v>
      </c>
      <c r="Z74" s="134">
        <f t="shared" si="40"/>
        <v>0</v>
      </c>
      <c r="AA74" s="136"/>
    </row>
    <row r="75" spans="1:29" ht="43.5" customHeight="1" thickBot="1" x14ac:dyDescent="0.3">
      <c r="A75" s="23"/>
      <c r="B75" s="176" t="s">
        <v>28</v>
      </c>
      <c r="C75" s="133">
        <f t="shared" ref="C75:L75" si="42">C7+C68</f>
        <v>800</v>
      </c>
      <c r="D75" s="133">
        <f t="shared" si="42"/>
        <v>52957940.886000007</v>
      </c>
      <c r="E75" s="133">
        <f t="shared" si="42"/>
        <v>11101230098.084496</v>
      </c>
      <c r="F75" s="133">
        <f t="shared" si="42"/>
        <v>17352912.052367367</v>
      </c>
      <c r="G75" s="133">
        <f t="shared" si="42"/>
        <v>2903422869.5439243</v>
      </c>
      <c r="H75" s="133">
        <f t="shared" si="42"/>
        <v>869302430.25303924</v>
      </c>
      <c r="I75" s="133">
        <f t="shared" si="42"/>
        <v>3165639746.0168633</v>
      </c>
      <c r="J75" s="133">
        <f t="shared" si="42"/>
        <v>365886.18651999999</v>
      </c>
      <c r="K75" s="133">
        <f t="shared" si="42"/>
        <v>105567.57219000001</v>
      </c>
      <c r="L75" s="177">
        <f t="shared" si="42"/>
        <v>4173700961.5397797</v>
      </c>
      <c r="M75" s="178"/>
      <c r="N75" s="21">
        <f t="shared" ref="N75:AA75" si="43">N7+N68</f>
        <v>5431843483.8220825</v>
      </c>
      <c r="O75" s="22">
        <f t="shared" si="43"/>
        <v>9858681098.5973434</v>
      </c>
      <c r="P75" s="21">
        <f t="shared" si="43"/>
        <v>4041461632.5406027</v>
      </c>
      <c r="Q75" s="177">
        <f t="shared" si="43"/>
        <v>132239328.9991771</v>
      </c>
      <c r="R75" s="179">
        <f t="shared" si="43"/>
        <v>973576361.69559932</v>
      </c>
      <c r="S75" s="180">
        <f t="shared" si="43"/>
        <v>1024202332.5037706</v>
      </c>
      <c r="T75" s="21">
        <f>T7+T68</f>
        <v>582179545.05066645</v>
      </c>
      <c r="U75" s="179">
        <f t="shared" si="43"/>
        <v>986213115.58999991</v>
      </c>
      <c r="V75" s="177">
        <f t="shared" si="43"/>
        <v>404033570.53933364</v>
      </c>
      <c r="W75" s="21">
        <f t="shared" si="43"/>
        <v>582179545.05066645</v>
      </c>
      <c r="X75" s="209">
        <f t="shared" si="43"/>
        <v>0</v>
      </c>
      <c r="Y75" s="21" t="e">
        <f t="shared" si="43"/>
        <v>#REF!</v>
      </c>
      <c r="Z75" s="133">
        <f t="shared" si="43"/>
        <v>582179545.05066645</v>
      </c>
      <c r="AA75" s="22">
        <f t="shared" si="43"/>
        <v>0</v>
      </c>
      <c r="AC75" s="116"/>
    </row>
    <row r="76" spans="1:29" ht="43.5" customHeight="1" x14ac:dyDescent="0.25">
      <c r="A76" s="17"/>
      <c r="B76" s="181" t="s">
        <v>99</v>
      </c>
      <c r="C76" s="182">
        <f>C77+C78</f>
        <v>122</v>
      </c>
      <c r="D76" s="182">
        <f t="shared" ref="D76:K76" si="44">D77+D78</f>
        <v>2522525.3650000002</v>
      </c>
      <c r="E76" s="182">
        <f t="shared" si="44"/>
        <v>2180238932.0736089</v>
      </c>
      <c r="F76" s="182">
        <f t="shared" si="44"/>
        <v>0</v>
      </c>
      <c r="G76" s="182">
        <f t="shared" si="44"/>
        <v>358521954.01602209</v>
      </c>
      <c r="H76" s="182">
        <f t="shared" si="44"/>
        <v>648854926.055439</v>
      </c>
      <c r="I76" s="182">
        <f t="shared" si="44"/>
        <v>295839859.28281426</v>
      </c>
      <c r="J76" s="182">
        <f t="shared" si="44"/>
        <v>0</v>
      </c>
      <c r="K76" s="182">
        <f t="shared" si="44"/>
        <v>0</v>
      </c>
      <c r="L76" s="186">
        <f>L77+L78</f>
        <v>877022192.71933365</v>
      </c>
      <c r="M76" s="189"/>
      <c r="N76" s="188">
        <f>L76</f>
        <v>877022192.71933365</v>
      </c>
      <c r="O76" s="182">
        <f>E76</f>
        <v>2180238932.0736089</v>
      </c>
      <c r="P76" s="182"/>
      <c r="Q76" s="186"/>
      <c r="R76" s="191">
        <v>689768737.17999995</v>
      </c>
      <c r="S76" s="184">
        <f>R76*1.052</f>
        <v>725636711.51336002</v>
      </c>
      <c r="T76" s="190"/>
      <c r="U76" s="229"/>
      <c r="V76" s="186">
        <f>L76-R76</f>
        <v>187253455.5393337</v>
      </c>
      <c r="W76" s="223">
        <f>R76</f>
        <v>689768737.17999995</v>
      </c>
      <c r="X76" s="224">
        <f>V76</f>
        <v>187253455.5393337</v>
      </c>
      <c r="Y76" s="190" t="e">
        <f>#REF!</f>
        <v>#REF!</v>
      </c>
      <c r="Z76" s="183">
        <f>T76</f>
        <v>0</v>
      </c>
      <c r="AA76" s="224">
        <f>X76</f>
        <v>187253455.5393337</v>
      </c>
    </row>
    <row r="77" spans="1:29" ht="27" customHeight="1" x14ac:dyDescent="0.25">
      <c r="A77" s="17"/>
      <c r="B77" s="25" t="s">
        <v>101</v>
      </c>
      <c r="C77" s="7">
        <v>69</v>
      </c>
      <c r="D77" s="8">
        <v>334280.08500000002</v>
      </c>
      <c r="E77" s="8">
        <v>1966516875.6333687</v>
      </c>
      <c r="F77" s="8">
        <v>0</v>
      </c>
      <c r="G77" s="8">
        <v>322839304.50542068</v>
      </c>
      <c r="H77" s="8">
        <v>542493829.91358221</v>
      </c>
      <c r="I77" s="8">
        <v>289773294.86732626</v>
      </c>
      <c r="J77" s="8"/>
      <c r="K77" s="8"/>
      <c r="L77" s="56">
        <f t="shared" ref="L77:L78" si="45">E77-G77-H77-I77</f>
        <v>811410446.3470397</v>
      </c>
      <c r="M77" s="210"/>
      <c r="N77" s="105"/>
      <c r="O77" s="211"/>
      <c r="P77" s="211"/>
      <c r="Q77" s="128"/>
      <c r="R77" s="139"/>
      <c r="S77" s="212"/>
      <c r="T77" s="173"/>
      <c r="U77" s="230"/>
      <c r="V77" s="213"/>
      <c r="W77" s="139"/>
      <c r="X77" s="212"/>
      <c r="Y77" s="173"/>
      <c r="Z77" s="214"/>
      <c r="AA77" s="212"/>
    </row>
    <row r="78" spans="1:29" ht="21.75" customHeight="1" thickBot="1" x14ac:dyDescent="0.3">
      <c r="A78" s="17"/>
      <c r="B78" s="185" t="s">
        <v>100</v>
      </c>
      <c r="C78" s="33">
        <v>53</v>
      </c>
      <c r="D78" s="34">
        <v>2188245.2800000003</v>
      </c>
      <c r="E78" s="34">
        <v>213722056.44024011</v>
      </c>
      <c r="F78" s="34">
        <v>0</v>
      </c>
      <c r="G78" s="34">
        <v>35682649.510601394</v>
      </c>
      <c r="H78" s="34">
        <v>106361096.14185679</v>
      </c>
      <c r="I78" s="34">
        <v>6066564.4154879991</v>
      </c>
      <c r="J78" s="34"/>
      <c r="K78" s="34"/>
      <c r="L78" s="187">
        <f t="shared" si="45"/>
        <v>65611746.372293927</v>
      </c>
      <c r="M78" s="215"/>
      <c r="N78" s="142"/>
      <c r="O78" s="216"/>
      <c r="P78" s="216"/>
      <c r="Q78" s="217"/>
      <c r="R78" s="218"/>
      <c r="S78" s="219"/>
      <c r="T78" s="220"/>
      <c r="U78" s="231"/>
      <c r="V78" s="221"/>
      <c r="W78" s="218"/>
      <c r="X78" s="219"/>
      <c r="Y78" s="220"/>
      <c r="Z78" s="222"/>
      <c r="AA78" s="219"/>
    </row>
    <row r="79" spans="1:29" ht="29.25" customHeight="1" x14ac:dyDescent="0.25">
      <c r="A79" s="17"/>
      <c r="B79" s="74"/>
      <c r="C79" s="46"/>
      <c r="D79" s="46"/>
      <c r="E79" s="46"/>
      <c r="F79" s="46"/>
      <c r="G79" s="46"/>
      <c r="H79" s="46"/>
      <c r="I79" s="46"/>
      <c r="J79" s="46"/>
      <c r="K79" s="46"/>
      <c r="L79" s="47"/>
      <c r="M79" s="47"/>
      <c r="N79" s="47"/>
      <c r="O79" s="47"/>
      <c r="P79" s="47"/>
      <c r="Q79" s="47"/>
      <c r="R79" s="48"/>
      <c r="S79" s="48"/>
      <c r="T79" s="48"/>
      <c r="U79" s="48"/>
      <c r="V79" s="48"/>
      <c r="W79" s="48"/>
      <c r="X79" s="48"/>
      <c r="Y79" s="48"/>
      <c r="Z79" s="48"/>
    </row>
    <row r="80" spans="1:29" ht="31.5" hidden="1" customHeight="1" thickBot="1" x14ac:dyDescent="0.4">
      <c r="B80" s="298" t="s">
        <v>30</v>
      </c>
      <c r="C80" s="299"/>
      <c r="D80" s="299"/>
      <c r="E80" s="299"/>
      <c r="F80" s="299"/>
      <c r="G80" s="299"/>
      <c r="H80" s="299"/>
      <c r="I80" s="299"/>
      <c r="J80" s="299"/>
      <c r="K80" s="299"/>
      <c r="L80" s="299"/>
      <c r="M80" s="299"/>
      <c r="N80" s="299"/>
      <c r="O80" s="299"/>
      <c r="P80" s="299"/>
      <c r="Q80" s="300"/>
      <c r="R80" s="80">
        <f>R75+R76</f>
        <v>1663345098.8755994</v>
      </c>
      <c r="S80" s="110"/>
      <c r="T80" s="81">
        <f>T75+T76</f>
        <v>582179545.05066645</v>
      </c>
      <c r="U80" s="121"/>
      <c r="V80" s="121"/>
      <c r="W80" s="39"/>
      <c r="X80" s="82"/>
      <c r="Y80" s="38"/>
      <c r="Z80" s="39"/>
      <c r="AA80" s="70"/>
    </row>
    <row r="81" spans="2:27" ht="31.5" hidden="1" customHeight="1" x14ac:dyDescent="0.35">
      <c r="B81" s="301" t="s">
        <v>49</v>
      </c>
      <c r="C81" s="302"/>
      <c r="D81" s="302"/>
      <c r="E81" s="302"/>
      <c r="F81" s="302"/>
      <c r="G81" s="302"/>
      <c r="H81" s="302"/>
      <c r="I81" s="302"/>
      <c r="J81" s="302"/>
      <c r="K81" s="302"/>
      <c r="L81" s="302"/>
      <c r="M81" s="302"/>
      <c r="N81" s="302"/>
      <c r="O81" s="302"/>
      <c r="P81" s="302"/>
      <c r="Q81" s="303"/>
      <c r="R81" s="49">
        <f>R76</f>
        <v>689768737.17999995</v>
      </c>
      <c r="S81" s="109"/>
      <c r="T81" s="75"/>
      <c r="U81" s="120"/>
      <c r="V81" s="120"/>
      <c r="W81" s="24"/>
      <c r="X81" s="86"/>
      <c r="Y81" s="27"/>
      <c r="Z81" s="24"/>
      <c r="AA81" s="70"/>
    </row>
    <row r="82" spans="2:27" ht="39.75" hidden="1" customHeight="1" x14ac:dyDescent="0.3">
      <c r="B82" s="291" t="s">
        <v>31</v>
      </c>
      <c r="C82" s="292"/>
      <c r="D82" s="292"/>
      <c r="E82" s="292"/>
      <c r="F82" s="292"/>
      <c r="G82" s="292"/>
      <c r="H82" s="292"/>
      <c r="I82" s="292"/>
      <c r="J82" s="292"/>
      <c r="K82" s="292"/>
      <c r="L82" s="292"/>
      <c r="M82" s="292"/>
      <c r="N82" s="292"/>
      <c r="O82" s="292"/>
      <c r="P82" s="292"/>
      <c r="Q82" s="293"/>
      <c r="R82" s="40"/>
      <c r="S82" s="73"/>
      <c r="T82" s="76"/>
      <c r="U82" s="122"/>
      <c r="V82" s="122"/>
      <c r="W82" s="42">
        <v>0</v>
      </c>
      <c r="X82" s="130"/>
      <c r="Y82" s="40"/>
      <c r="Z82" s="37">
        <v>-99279772</v>
      </c>
    </row>
    <row r="83" spans="2:27" ht="27" hidden="1" customHeight="1" x14ac:dyDescent="0.3">
      <c r="B83" s="291" t="s">
        <v>44</v>
      </c>
      <c r="C83" s="292"/>
      <c r="D83" s="292"/>
      <c r="E83" s="292"/>
      <c r="F83" s="292"/>
      <c r="G83" s="292"/>
      <c r="H83" s="292"/>
      <c r="I83" s="292"/>
      <c r="J83" s="292"/>
      <c r="K83" s="292"/>
      <c r="L83" s="292"/>
      <c r="M83" s="292"/>
      <c r="N83" s="292"/>
      <c r="O83" s="292"/>
      <c r="P83" s="292"/>
      <c r="Q83" s="293"/>
      <c r="R83" s="40"/>
      <c r="S83" s="73"/>
      <c r="T83" s="76"/>
      <c r="U83" s="122"/>
      <c r="V83" s="122"/>
      <c r="W83" s="42">
        <v>0</v>
      </c>
      <c r="X83" s="130"/>
      <c r="Y83" s="40"/>
      <c r="Z83" s="37"/>
    </row>
    <row r="84" spans="2:27" ht="25.5" hidden="1" customHeight="1" x14ac:dyDescent="0.3">
      <c r="B84" s="291" t="s">
        <v>46</v>
      </c>
      <c r="C84" s="292"/>
      <c r="D84" s="292"/>
      <c r="E84" s="292"/>
      <c r="F84" s="292"/>
      <c r="G84" s="292"/>
      <c r="H84" s="292"/>
      <c r="I84" s="292"/>
      <c r="J84" s="292"/>
      <c r="K84" s="292"/>
      <c r="L84" s="292"/>
      <c r="M84" s="292"/>
      <c r="N84" s="292"/>
      <c r="O84" s="292"/>
      <c r="P84" s="292"/>
      <c r="Q84" s="293"/>
      <c r="R84" s="49"/>
      <c r="S84" s="47"/>
      <c r="T84" s="77"/>
      <c r="U84" s="123"/>
      <c r="V84" s="123"/>
      <c r="W84" s="41">
        <f>T84</f>
        <v>0</v>
      </c>
      <c r="X84" s="131"/>
      <c r="Y84" s="40"/>
      <c r="Z84" s="41"/>
    </row>
    <row r="85" spans="2:27" ht="32.25" hidden="1" customHeight="1" thickBot="1" x14ac:dyDescent="0.35">
      <c r="B85" s="278" t="s">
        <v>45</v>
      </c>
      <c r="C85" s="279"/>
      <c r="D85" s="279"/>
      <c r="E85" s="279"/>
      <c r="F85" s="279"/>
      <c r="G85" s="279"/>
      <c r="H85" s="279"/>
      <c r="I85" s="279"/>
      <c r="J85" s="279"/>
      <c r="K85" s="279"/>
      <c r="L85" s="279"/>
      <c r="M85" s="279"/>
      <c r="N85" s="279"/>
      <c r="O85" s="279"/>
      <c r="P85" s="279"/>
      <c r="Q85" s="280"/>
      <c r="R85" s="78">
        <f>R80-R81</f>
        <v>973576361.69559944</v>
      </c>
      <c r="S85" s="111"/>
      <c r="T85" s="79"/>
      <c r="U85" s="124"/>
      <c r="V85" s="124"/>
      <c r="W85" s="45">
        <f>W80+W82+W83+W84</f>
        <v>0</v>
      </c>
      <c r="X85" s="132"/>
      <c r="Y85" s="28"/>
      <c r="Z85" s="45"/>
    </row>
    <row r="86" spans="2:27" hidden="1" x14ac:dyDescent="0.25"/>
    <row r="87" spans="2:27" ht="18.75" x14ac:dyDescent="0.3">
      <c r="B87" s="239"/>
      <c r="C87" s="239"/>
      <c r="D87" s="239"/>
      <c r="E87" s="239"/>
      <c r="F87" s="239"/>
      <c r="G87" s="239"/>
    </row>
    <row r="88" spans="2:27" ht="16.149999999999999" hidden="1" customHeight="1" x14ac:dyDescent="0.3">
      <c r="B88" s="314"/>
      <c r="C88" s="314"/>
      <c r="D88" s="314"/>
      <c r="E88" s="314"/>
      <c r="F88" s="314"/>
      <c r="G88" s="314"/>
    </row>
    <row r="89" spans="2:27" ht="27" customHeight="1" x14ac:dyDescent="0.25">
      <c r="B89" s="315"/>
      <c r="C89" s="315"/>
      <c r="D89" s="315"/>
      <c r="E89" s="315"/>
      <c r="F89" s="315"/>
      <c r="G89" s="315"/>
    </row>
    <row r="90" spans="2:27" ht="18.75" x14ac:dyDescent="0.25">
      <c r="B90" s="316"/>
      <c r="C90" s="316"/>
      <c r="D90" s="316"/>
      <c r="E90" s="316"/>
      <c r="F90" s="316"/>
      <c r="G90" s="316"/>
      <c r="H90" s="316"/>
      <c r="I90" s="316"/>
      <c r="J90" s="316"/>
      <c r="K90" s="316"/>
      <c r="L90" s="316"/>
      <c r="M90" s="316"/>
      <c r="N90" s="316"/>
      <c r="O90" s="316"/>
      <c r="P90" s="316"/>
      <c r="Q90" s="316"/>
    </row>
    <row r="91" spans="2:27" x14ac:dyDescent="0.25">
      <c r="B91" s="313"/>
      <c r="C91" s="313"/>
      <c r="D91" s="313"/>
      <c r="E91" s="313"/>
      <c r="F91" s="313"/>
      <c r="G91" s="313"/>
    </row>
    <row r="92" spans="2:27" x14ac:dyDescent="0.25">
      <c r="B92" s="313"/>
      <c r="C92" s="313"/>
      <c r="D92" s="313"/>
      <c r="E92" s="313"/>
      <c r="F92" s="313"/>
      <c r="G92" s="313"/>
    </row>
    <row r="93" spans="2:27" x14ac:dyDescent="0.25">
      <c r="B93" s="238"/>
    </row>
    <row r="94" spans="2:27" x14ac:dyDescent="0.25">
      <c r="B94" s="238"/>
    </row>
    <row r="95" spans="2:27" ht="20.25" hidden="1" x14ac:dyDescent="0.3">
      <c r="J95" s="18">
        <v>28800</v>
      </c>
      <c r="K95" s="18">
        <v>7200</v>
      </c>
      <c r="T95" s="200">
        <f>986213115.59-V76-216780115</f>
        <v>582179545.05066633</v>
      </c>
      <c r="U95" s="200">
        <v>0.59031819375305983</v>
      </c>
      <c r="V95" s="50"/>
      <c r="W95" s="69"/>
      <c r="X95" s="69"/>
      <c r="Z95" s="44"/>
    </row>
    <row r="96" spans="2:27" x14ac:dyDescent="0.25">
      <c r="L96" s="43"/>
    </row>
    <row r="97" spans="20:21" x14ac:dyDescent="0.25">
      <c r="U97" s="18">
        <f>T75/U75</f>
        <v>0.59031819375305994</v>
      </c>
    </row>
    <row r="99" spans="20:21" x14ac:dyDescent="0.25">
      <c r="T99" s="44"/>
      <c r="U99" s="44"/>
    </row>
  </sheetData>
  <mergeCells count="43">
    <mergeCell ref="B91:G91"/>
    <mergeCell ref="B92:G92"/>
    <mergeCell ref="B88:G88"/>
    <mergeCell ref="B89:G89"/>
    <mergeCell ref="B90:Q90"/>
    <mergeCell ref="AA3:AA5"/>
    <mergeCell ref="Y2:AA2"/>
    <mergeCell ref="B83:Q83"/>
    <mergeCell ref="W2:X2"/>
    <mergeCell ref="P2:V2"/>
    <mergeCell ref="R3:V3"/>
    <mergeCell ref="U4:U5"/>
    <mergeCell ref="B85:Q85"/>
    <mergeCell ref="B2:B5"/>
    <mergeCell ref="L2:L5"/>
    <mergeCell ref="I2:I5"/>
    <mergeCell ref="H2:H5"/>
    <mergeCell ref="G2:G5"/>
    <mergeCell ref="E2:E5"/>
    <mergeCell ref="C2:C5"/>
    <mergeCell ref="J2:K3"/>
    <mergeCell ref="B84:Q84"/>
    <mergeCell ref="N2:N5"/>
    <mergeCell ref="O2:O5"/>
    <mergeCell ref="B82:Q82"/>
    <mergeCell ref="B80:Q80"/>
    <mergeCell ref="B81:Q81"/>
    <mergeCell ref="B1:Z1"/>
    <mergeCell ref="Q3:Q5"/>
    <mergeCell ref="W3:W5"/>
    <mergeCell ref="Z3:Z5"/>
    <mergeCell ref="X3:X5"/>
    <mergeCell ref="Y3:Y5"/>
    <mergeCell ref="P3:P5"/>
    <mergeCell ref="F2:F5"/>
    <mergeCell ref="R4:R5"/>
    <mergeCell ref="S4:S5"/>
    <mergeCell ref="V4:V5"/>
    <mergeCell ref="M2:M5"/>
    <mergeCell ref="J4:J5"/>
    <mergeCell ref="K4:K5"/>
    <mergeCell ref="T4:T5"/>
    <mergeCell ref="D2:D5"/>
  </mergeCells>
  <pageMargins left="0.62992125984251968" right="0.23622047244094491" top="0.19685039370078741" bottom="0.15748031496062992" header="0.31496062992125984" footer="0.31496062992125984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расчет НМЦК (без автобусов)</vt:lpstr>
    </vt:vector>
  </TitlesOfParts>
  <Company>PNO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Медник Татьяна Юрьевна</dc:creator>
  <cp:lastModifiedBy>Прокопенко Яна Тимуровна</cp:lastModifiedBy>
  <cp:lastPrinted>2025-08-13T08:20:45Z</cp:lastPrinted>
  <dcterms:created xsi:type="dcterms:W3CDTF">2022-09-02T02:21:06Z</dcterms:created>
  <dcterms:modified xsi:type="dcterms:W3CDTF">2025-10-18T06:07:54Z</dcterms:modified>
</cp:coreProperties>
</file>